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" defaultThemeVersion="164011"/>
  <mc:AlternateContent>
    <mc:Choice Requires="x15">
      <x15ac:absPath xmlns:x15ac="http://schemas.microsoft.com/office/spreadsheetml/2010/11/ac" url="\\sv0712\草津市\税務課\10_諸税管理係\◆03＿(移行済)国民健康保険税\■14＿広報・HP\ホームページ\R7\国保税の試算について\決裁\"/>
    </mc:Choice>
  </mc:AlternateContent>
  <bookViews>
    <workbookView xWindow="71145" yWindow="0" windowWidth="27405" windowHeight="12795"/>
  </bookViews>
  <sheets>
    <sheet name="試算シート" sheetId="5" r:id="rId1"/>
  </sheets>
  <calcPr calcId="162913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5" l="1"/>
  <c r="M16" i="5"/>
  <c r="P17" i="5" l="1"/>
  <c r="P16" i="5"/>
  <c r="F28" i="5" s="1"/>
  <c r="F32" i="5" s="1"/>
  <c r="F34" i="5" l="1"/>
  <c r="C28" i="5"/>
  <c r="D28" i="5"/>
  <c r="E28" i="5"/>
  <c r="P13" i="5"/>
  <c r="H16" i="5" l="1"/>
  <c r="H18" i="5"/>
  <c r="H20" i="5"/>
  <c r="H22" i="5"/>
  <c r="H14" i="5"/>
  <c r="P22" i="5"/>
  <c r="P14" i="5" l="1"/>
  <c r="P35" i="5"/>
  <c r="P38" i="5"/>
  <c r="P37" i="5"/>
  <c r="P36" i="5"/>
  <c r="P34" i="5"/>
  <c r="P45" i="5" l="1"/>
  <c r="H23" i="5" s="1"/>
  <c r="M22" i="5" s="1"/>
  <c r="P44" i="5"/>
  <c r="P43" i="5"/>
  <c r="H19" i="5" s="1"/>
  <c r="H21" i="5" l="1"/>
  <c r="M20" i="5" s="1"/>
  <c r="P30" i="5"/>
  <c r="L22" i="5" s="1"/>
  <c r="P28" i="5"/>
  <c r="L18" i="5" s="1"/>
  <c r="P42" i="5"/>
  <c r="H17" i="5" s="1"/>
  <c r="J18" i="5" l="1"/>
  <c r="K18" i="5" s="1"/>
  <c r="J22" i="5"/>
  <c r="K22" i="5" s="1"/>
  <c r="P29" i="5"/>
  <c r="L20" i="5" s="1"/>
  <c r="P27" i="5"/>
  <c r="J16" i="5" s="1"/>
  <c r="K16" i="5" s="1"/>
  <c r="L16" i="5" l="1"/>
  <c r="J20" i="5"/>
  <c r="K20" i="5" s="1"/>
  <c r="E27" i="5" l="1"/>
  <c r="E32" i="5" s="1"/>
  <c r="E33" i="5" l="1"/>
  <c r="C27" i="5"/>
  <c r="C32" i="5" s="1"/>
  <c r="F27" i="5"/>
  <c r="F33" i="5" s="1"/>
  <c r="C33" i="5" l="1"/>
  <c r="D27" i="5"/>
  <c r="D32" i="5" s="1"/>
  <c r="D33" i="5" l="1"/>
  <c r="P41" i="5"/>
  <c r="H15" i="5" s="1"/>
  <c r="M14" i="5" s="1"/>
  <c r="P26" i="5" l="1"/>
  <c r="L14" i="5" s="1"/>
  <c r="P20" i="5"/>
  <c r="J14" i="5" l="1"/>
  <c r="K14" i="5" s="1"/>
  <c r="C29" i="5" s="1"/>
  <c r="C31" i="5" s="1"/>
  <c r="C35" i="5" s="1"/>
  <c r="P21" i="5"/>
  <c r="F30" i="5" s="1"/>
  <c r="P15" i="5"/>
  <c r="E29" i="5" s="1"/>
  <c r="E31" i="5" s="1"/>
  <c r="E35" i="5" s="1"/>
  <c r="E30" i="5"/>
  <c r="E36" i="5"/>
  <c r="D36" i="5"/>
  <c r="F36" i="5"/>
  <c r="C30" i="5" l="1"/>
  <c r="D29" i="5"/>
  <c r="D31" i="5" s="1"/>
  <c r="D35" i="5" s="1"/>
  <c r="F29" i="5"/>
  <c r="F31" i="5" s="1"/>
  <c r="F35" i="5" s="1"/>
  <c r="D30" i="5"/>
  <c r="F37" i="5"/>
  <c r="E37" i="5"/>
  <c r="E39" i="5" s="1"/>
  <c r="E40" i="5" s="1"/>
  <c r="D37" i="5"/>
  <c r="C37" i="5"/>
  <c r="P23" i="5" s="1"/>
  <c r="C38" i="5" s="1"/>
  <c r="C36" i="5"/>
  <c r="F39" i="5" l="1"/>
  <c r="F40" i="5" s="1"/>
  <c r="D38" i="5"/>
  <c r="D39" i="5" s="1"/>
  <c r="D40" i="5" s="1"/>
  <c r="C39" i="5"/>
  <c r="C40" i="5" s="1"/>
  <c r="J37" i="5" l="1"/>
  <c r="J39" i="5" s="1"/>
</calcChain>
</file>

<file path=xl/sharedStrings.xml><?xml version="1.0" encoding="utf-8"?>
<sst xmlns="http://schemas.openxmlformats.org/spreadsheetml/2006/main" count="88" uniqueCount="74">
  <si>
    <t>その他所得</t>
    <rPh sb="2" eb="3">
      <t>ホカ</t>
    </rPh>
    <rPh sb="3" eb="5">
      <t>ショトク</t>
    </rPh>
    <phoneticPr fontId="2"/>
  </si>
  <si>
    <t>世帯主及び加入者</t>
    <rPh sb="0" eb="3">
      <t>セタイヌシ</t>
    </rPh>
    <rPh sb="3" eb="4">
      <t>オヨ</t>
    </rPh>
    <rPh sb="5" eb="8">
      <t>カニュウシャ</t>
    </rPh>
    <phoneticPr fontId="2"/>
  </si>
  <si>
    <t>給与収入</t>
    <rPh sb="0" eb="2">
      <t>キュウヨ</t>
    </rPh>
    <rPh sb="2" eb="4">
      <t>シュウニュウ</t>
    </rPh>
    <phoneticPr fontId="2"/>
  </si>
  <si>
    <t>給与所得</t>
    <rPh sb="0" eb="2">
      <t>キュウヨ</t>
    </rPh>
    <rPh sb="2" eb="4">
      <t>ショトク</t>
    </rPh>
    <phoneticPr fontId="2"/>
  </si>
  <si>
    <t>年金所得</t>
    <rPh sb="0" eb="2">
      <t>ネンキン</t>
    </rPh>
    <rPh sb="2" eb="4">
      <t>ショトク</t>
    </rPh>
    <phoneticPr fontId="2"/>
  </si>
  <si>
    <t>氏名</t>
    <rPh sb="0" eb="2">
      <t>シメイ</t>
    </rPh>
    <phoneticPr fontId="2"/>
  </si>
  <si>
    <t>合計所得金額</t>
    <rPh sb="0" eb="2">
      <t>ゴウケイ</t>
    </rPh>
    <rPh sb="2" eb="4">
      <t>ショトク</t>
    </rPh>
    <rPh sb="4" eb="6">
      <t>キンガク</t>
    </rPh>
    <phoneticPr fontId="2"/>
  </si>
  <si>
    <t>基準総所得</t>
    <rPh sb="0" eb="5">
      <t>キジュンソウショトク</t>
    </rPh>
    <phoneticPr fontId="2"/>
  </si>
  <si>
    <t>均等割人員</t>
    <rPh sb="0" eb="3">
      <t>キントウワ</t>
    </rPh>
    <rPh sb="3" eb="5">
      <t>ジンイン</t>
    </rPh>
    <phoneticPr fontId="2"/>
  </si>
  <si>
    <t>所得割額</t>
    <rPh sb="0" eb="4">
      <t>ショトクワリガク</t>
    </rPh>
    <phoneticPr fontId="2"/>
  </si>
  <si>
    <t>均等割額</t>
    <rPh sb="0" eb="3">
      <t>キントウワリ</t>
    </rPh>
    <rPh sb="3" eb="4">
      <t>ガク</t>
    </rPh>
    <phoneticPr fontId="2"/>
  </si>
  <si>
    <t>平等割額</t>
    <rPh sb="0" eb="3">
      <t>ビョウドウワリ</t>
    </rPh>
    <rPh sb="3" eb="4">
      <t>ガク</t>
    </rPh>
    <phoneticPr fontId="2"/>
  </si>
  <si>
    <t>医療</t>
    <rPh sb="0" eb="2">
      <t>イリョウ</t>
    </rPh>
    <phoneticPr fontId="2"/>
  </si>
  <si>
    <t>支援</t>
    <rPh sb="0" eb="2">
      <t>シエン</t>
    </rPh>
    <phoneticPr fontId="2"/>
  </si>
  <si>
    <t>介護</t>
    <rPh sb="0" eb="2">
      <t>カイゴ</t>
    </rPh>
    <phoneticPr fontId="2"/>
  </si>
  <si>
    <t>子ども</t>
    <rPh sb="0" eb="1">
      <t>コ</t>
    </rPh>
    <phoneticPr fontId="2"/>
  </si>
  <si>
    <t>積算合計</t>
    <rPh sb="0" eb="2">
      <t>セキサン</t>
    </rPh>
    <rPh sb="2" eb="4">
      <t>ゴウケイ</t>
    </rPh>
    <phoneticPr fontId="2"/>
  </si>
  <si>
    <t>未就学児軽減</t>
    <rPh sb="0" eb="4">
      <t>ミシュウガクジ</t>
    </rPh>
    <rPh sb="4" eb="6">
      <t>ケイゲン</t>
    </rPh>
    <phoneticPr fontId="2"/>
  </si>
  <si>
    <t>18歳以上均等割</t>
    <rPh sb="2" eb="3">
      <t>サイ</t>
    </rPh>
    <rPh sb="3" eb="5">
      <t>イジョウ</t>
    </rPh>
    <rPh sb="5" eb="8">
      <t>キントウワリ</t>
    </rPh>
    <phoneticPr fontId="2"/>
  </si>
  <si>
    <t>●税率</t>
    <rPh sb="1" eb="3">
      <t>ゼイリツ</t>
    </rPh>
    <phoneticPr fontId="2"/>
  </si>
  <si>
    <t>課税額</t>
    <rPh sb="0" eb="3">
      <t>カゼイガク</t>
    </rPh>
    <phoneticPr fontId="2"/>
  </si>
  <si>
    <t>●課税限度額</t>
    <rPh sb="1" eb="3">
      <t>カゼイ</t>
    </rPh>
    <rPh sb="3" eb="5">
      <t>ゲンド</t>
    </rPh>
    <rPh sb="5" eb="6">
      <t>ガク</t>
    </rPh>
    <phoneticPr fontId="2"/>
  </si>
  <si>
    <t>算定情報</t>
    <rPh sb="0" eb="2">
      <t>サンテイ</t>
    </rPh>
    <rPh sb="2" eb="4">
      <t>ジョウホウ</t>
    </rPh>
    <phoneticPr fontId="2"/>
  </si>
  <si>
    <t>擬主</t>
    <rPh sb="0" eb="1">
      <t>ギ</t>
    </rPh>
    <rPh sb="1" eb="2">
      <t>ヌシ</t>
    </rPh>
    <phoneticPr fontId="2"/>
  </si>
  <si>
    <t>主</t>
    <rPh sb="0" eb="1">
      <t>ヌシ</t>
    </rPh>
    <phoneticPr fontId="2"/>
  </si>
  <si>
    <t>基準総所得</t>
    <rPh sb="0" eb="5">
      <t>キジュンソウショトク</t>
    </rPh>
    <phoneticPr fontId="2"/>
  </si>
  <si>
    <t>均等割の算定人数（介）</t>
    <rPh sb="0" eb="2">
      <t>キントウ</t>
    </rPh>
    <rPh sb="2" eb="3">
      <t>ワリ</t>
    </rPh>
    <rPh sb="4" eb="6">
      <t>サンテイ</t>
    </rPh>
    <rPh sb="6" eb="8">
      <t>ニンズウ</t>
    </rPh>
    <rPh sb="9" eb="10">
      <t>スケ</t>
    </rPh>
    <phoneticPr fontId="2"/>
  </si>
  <si>
    <t>数式</t>
    <rPh sb="0" eb="2">
      <t>スウシキ</t>
    </rPh>
    <phoneticPr fontId="2"/>
  </si>
  <si>
    <t>介護分の基準総所得（世帯合計）</t>
    <rPh sb="0" eb="2">
      <t>カイゴ</t>
    </rPh>
    <rPh sb="2" eb="3">
      <t>ブン</t>
    </rPh>
    <rPh sb="4" eb="9">
      <t>キジュンソウショトク</t>
    </rPh>
    <rPh sb="10" eb="12">
      <t>セタイ</t>
    </rPh>
    <rPh sb="12" eb="14">
      <t>ゴウケイ</t>
    </rPh>
    <phoneticPr fontId="2"/>
  </si>
  <si>
    <t>世帯主種別</t>
    <rPh sb="0" eb="3">
      <t>セタイヌシ</t>
    </rPh>
    <rPh sb="3" eb="5">
      <t>シュベツ</t>
    </rPh>
    <phoneticPr fontId="2"/>
  </si>
  <si>
    <t>軽減判定所得</t>
    <rPh sb="0" eb="4">
      <t>ケイゲンハンテイ</t>
    </rPh>
    <rPh sb="4" eb="6">
      <t>ショトク</t>
    </rPh>
    <phoneticPr fontId="2"/>
  </si>
  <si>
    <t>軽減判定</t>
    <rPh sb="0" eb="4">
      <t>ケイゲンハンテイ</t>
    </rPh>
    <phoneticPr fontId="2"/>
  </si>
  <si>
    <t>年金収入</t>
    <rPh sb="0" eb="4">
      <t>ネンキンシュウニュウ</t>
    </rPh>
    <phoneticPr fontId="2"/>
  </si>
  <si>
    <t>軽減判定所得</t>
    <rPh sb="0" eb="2">
      <t>ケイゲン</t>
    </rPh>
    <rPh sb="2" eb="6">
      <t>ハンテイショトク</t>
    </rPh>
    <phoneticPr fontId="2"/>
  </si>
  <si>
    <t>給与所得者の数</t>
    <rPh sb="0" eb="5">
      <t>キュウヨショトクシャ</t>
    </rPh>
    <rPh sb="6" eb="7">
      <t>カズ</t>
    </rPh>
    <phoneticPr fontId="2"/>
  </si>
  <si>
    <t>限度超過額</t>
    <rPh sb="0" eb="4">
      <t>ゲンドチョウカ</t>
    </rPh>
    <rPh sb="4" eb="5">
      <t>ガク</t>
    </rPh>
    <phoneticPr fontId="2"/>
  </si>
  <si>
    <t>軽減額（均等割）</t>
    <rPh sb="0" eb="3">
      <t>ケイゲンガク</t>
    </rPh>
    <rPh sb="4" eb="7">
      <t>キントウワリ</t>
    </rPh>
    <phoneticPr fontId="2"/>
  </si>
  <si>
    <t>軽減額（平等割）</t>
    <rPh sb="0" eb="3">
      <t>ケイゲンガク</t>
    </rPh>
    <rPh sb="4" eb="6">
      <t>ビョウドウ</t>
    </rPh>
    <rPh sb="6" eb="7">
      <t>ワリ</t>
    </rPh>
    <phoneticPr fontId="2"/>
  </si>
  <si>
    <t>未就学児の数</t>
    <rPh sb="0" eb="4">
      <t>ミシュウガクジ</t>
    </rPh>
    <rPh sb="5" eb="6">
      <t>カズ</t>
    </rPh>
    <phoneticPr fontId="2"/>
  </si>
  <si>
    <t>軽減区分</t>
    <rPh sb="0" eb="2">
      <t>ケイゲン</t>
    </rPh>
    <rPh sb="2" eb="4">
      <t>クブン</t>
    </rPh>
    <phoneticPr fontId="2"/>
  </si>
  <si>
    <t>18歳以上人員</t>
    <rPh sb="2" eb="3">
      <t>サイ</t>
    </rPh>
    <rPh sb="3" eb="5">
      <t>イジョウ</t>
    </rPh>
    <rPh sb="5" eb="7">
      <t>ジンイン</t>
    </rPh>
    <phoneticPr fontId="2"/>
  </si>
  <si>
    <t>18歳以上人員数</t>
    <rPh sb="2" eb="5">
      <t>サイイジョウ</t>
    </rPh>
    <rPh sb="5" eb="7">
      <t>ジンイン</t>
    </rPh>
    <rPh sb="7" eb="8">
      <t>スウ</t>
    </rPh>
    <phoneticPr fontId="2"/>
  </si>
  <si>
    <t>プルダウンリスト①</t>
    <phoneticPr fontId="2"/>
  </si>
  <si>
    <t>18歳未満人員</t>
    <rPh sb="2" eb="3">
      <t>サイ</t>
    </rPh>
    <rPh sb="3" eb="5">
      <t>ミマン</t>
    </rPh>
    <rPh sb="5" eb="7">
      <t>ヒトイン</t>
    </rPh>
    <phoneticPr fontId="2"/>
  </si>
  <si>
    <t>均等割の算定人数（医、支、子）</t>
    <rPh sb="0" eb="2">
      <t>キントウ</t>
    </rPh>
    <rPh sb="2" eb="3">
      <t>ワリ</t>
    </rPh>
    <rPh sb="4" eb="6">
      <t>サンテイ</t>
    </rPh>
    <rPh sb="6" eb="8">
      <t>ニンズウ</t>
    </rPh>
    <rPh sb="9" eb="10">
      <t>イ</t>
    </rPh>
    <rPh sb="11" eb="12">
      <t>シ</t>
    </rPh>
    <rPh sb="13" eb="14">
      <t>コ</t>
    </rPh>
    <phoneticPr fontId="2"/>
  </si>
  <si>
    <t>軽減判定所得の合計（医、支、介、子）</t>
    <rPh sb="0" eb="6">
      <t>ケイゲンハンテイショトク</t>
    </rPh>
    <rPh sb="7" eb="9">
      <t>ゴウケイ</t>
    </rPh>
    <rPh sb="10" eb="11">
      <t>イ</t>
    </rPh>
    <rPh sb="12" eb="13">
      <t>シ</t>
    </rPh>
    <rPh sb="14" eb="15">
      <t>カイ</t>
    </rPh>
    <rPh sb="16" eb="17">
      <t>コ</t>
    </rPh>
    <phoneticPr fontId="2"/>
  </si>
  <si>
    <t>年金所得関係</t>
    <rPh sb="0" eb="4">
      <t>ネンキンショトク</t>
    </rPh>
    <rPh sb="4" eb="6">
      <t>カンケイ</t>
    </rPh>
    <phoneticPr fontId="2"/>
  </si>
  <si>
    <t>年齢チェック</t>
    <rPh sb="0" eb="2">
      <t>ネンレイ</t>
    </rPh>
    <phoneticPr fontId="2"/>
  </si>
  <si>
    <t>対象者①</t>
    <rPh sb="0" eb="3">
      <t>タイショウシャ</t>
    </rPh>
    <phoneticPr fontId="2"/>
  </si>
  <si>
    <t>対象者②</t>
    <rPh sb="0" eb="3">
      <t>タイショウシャ</t>
    </rPh>
    <phoneticPr fontId="2"/>
  </si>
  <si>
    <t>対象者③</t>
    <rPh sb="0" eb="3">
      <t>タイショウシャ</t>
    </rPh>
    <phoneticPr fontId="2"/>
  </si>
  <si>
    <t>対象者④</t>
    <rPh sb="0" eb="3">
      <t>タイショウシャ</t>
    </rPh>
    <phoneticPr fontId="2"/>
  </si>
  <si>
    <t>対象者⑤</t>
    <rPh sb="0" eb="3">
      <t>タイショウシャ</t>
    </rPh>
    <phoneticPr fontId="2"/>
  </si>
  <si>
    <t>公的年金等雑所得以外の合計所得区分</t>
    <rPh sb="0" eb="4">
      <t>コウテキネンキン</t>
    </rPh>
    <rPh sb="4" eb="5">
      <t>ナド</t>
    </rPh>
    <rPh sb="5" eb="8">
      <t>ザツショトク</t>
    </rPh>
    <rPh sb="8" eb="10">
      <t>イガイ</t>
    </rPh>
    <rPh sb="11" eb="13">
      <t>ゴウケイ</t>
    </rPh>
    <rPh sb="13" eb="15">
      <t>ショトク</t>
    </rPh>
    <rPh sb="15" eb="17">
      <t>クブン</t>
    </rPh>
    <phoneticPr fontId="2"/>
  </si>
  <si>
    <t>令和8年度草津市国民健康保険税の試算シート</t>
    <rPh sb="0" eb="2">
      <t>レイワ</t>
    </rPh>
    <rPh sb="3" eb="5">
      <t>ネンド</t>
    </rPh>
    <rPh sb="5" eb="8">
      <t>クサツシ</t>
    </rPh>
    <rPh sb="8" eb="15">
      <t>コクミンケンコウホケンゼイ</t>
    </rPh>
    <rPh sb="16" eb="18">
      <t>シサン</t>
    </rPh>
    <phoneticPr fontId="2"/>
  </si>
  <si>
    <r>
      <rPr>
        <b/>
        <sz val="14"/>
        <color theme="1"/>
        <rFont val="游ゴシック"/>
        <family val="3"/>
        <charset val="128"/>
        <scheme val="minor"/>
      </rPr>
      <t xml:space="preserve">下記の表（黄色セルのみ）に必要な情報を入力することで、令和8年度（令和8年4月～令和9年3月分）の国民健康保険税の試算をすることができます。
</t>
    </r>
    <r>
      <rPr>
        <b/>
        <sz val="14"/>
        <color rgb="FFFF0000"/>
        <rFont val="游ゴシック"/>
        <family val="3"/>
        <charset val="128"/>
        <scheme val="minor"/>
      </rPr>
      <t>【注意】結果はあくまでも試算です。実際の保険税とは異なる場合があります。</t>
    </r>
    <phoneticPr fontId="2"/>
  </si>
  <si>
    <t>←入力セル</t>
    <rPh sb="1" eb="3">
      <t>ニュウリョク</t>
    </rPh>
    <phoneticPr fontId="2"/>
  </si>
  <si>
    <t>←自動計算セル</t>
    <rPh sb="1" eb="5">
      <t>ジドウケイサン</t>
    </rPh>
    <phoneticPr fontId="2"/>
  </si>
  <si>
    <t>1年間の税額</t>
    <rPh sb="1" eb="3">
      <t>ネンカン</t>
    </rPh>
    <rPh sb="4" eb="6">
      <t>ゼイガク</t>
    </rPh>
    <phoneticPr fontId="2"/>
  </si>
  <si>
    <t>●計算結果</t>
    <rPh sb="1" eb="5">
      <t>ケイサンケッカ</t>
    </rPh>
    <phoneticPr fontId="2"/>
  </si>
  <si>
    <t>1ヶ月あたりの税額（目安）</t>
    <rPh sb="2" eb="3">
      <t>ゲツ</t>
    </rPh>
    <rPh sb="7" eb="9">
      <t>ゼイガク</t>
    </rPh>
    <rPh sb="10" eb="12">
      <t>メヤス</t>
    </rPh>
    <phoneticPr fontId="2"/>
  </si>
  <si>
    <t>円</t>
    <rPh sb="0" eb="1">
      <t>エン</t>
    </rPh>
    <phoneticPr fontId="2"/>
  </si>
  <si>
    <t>調整控除①</t>
    <rPh sb="0" eb="4">
      <t>チョウセイコウジョ</t>
    </rPh>
    <phoneticPr fontId="2"/>
  </si>
  <si>
    <t>調整控除②</t>
    <rPh sb="0" eb="4">
      <t>チョウセイコウジョ</t>
    </rPh>
    <phoneticPr fontId="2"/>
  </si>
  <si>
    <t>調整控除③</t>
    <rPh sb="0" eb="4">
      <t>チョウセイコウジョ</t>
    </rPh>
    <phoneticPr fontId="2"/>
  </si>
  <si>
    <t>調整控除④</t>
    <rPh sb="0" eb="4">
      <t>チョウセイコウジョ</t>
    </rPh>
    <phoneticPr fontId="2"/>
  </si>
  <si>
    <t>調整控除⑤</t>
    <rPh sb="0" eb="4">
      <t>チョウセイコウジョ</t>
    </rPh>
    <phoneticPr fontId="2"/>
  </si>
  <si>
    <t>給与所得関係</t>
    <rPh sb="0" eb="4">
      <t>キュウヨショトク</t>
    </rPh>
    <rPh sb="4" eb="6">
      <t>カンケイ</t>
    </rPh>
    <phoneticPr fontId="2"/>
  </si>
  <si>
    <t>※注意事項※
①このエクセルシートによる計算はあくまで概算となります。所得額に専従者給与がある方や、専従者控除を申告されている方、申告分離課税制度を利用されている方等につきましては、このシートにて正しく計算することができないことがあります。
実際の決定税額は、国民健康保険加入後、納税通知書または賦課更正（決定）通知書をもってお知らせします。
②次の場合等は、このエクセルシートによる計算に対応しておりませんので、下記までお問い合わせください。
 ・年度途中に加入者の人数や所得が変わる場合
 ・加入者が年度途中で40歳に到達し介護保険第2号被保険者となったり、65歳に到達し介護保険第1号被保険者となる場合、または75歳に到達し後期高齢者医療制度の加入者となる場合
 ・特定同一世帯員が含まれる場合
 ・総所得金額等が2,400万円を超える方
 ・非自発的失業軽減が適用される場合
 ・災害、所得の減少等により保険税の減免が適用される場合
【問い合わせ先】
税務課　諸税管理係　　
草津市役所　１階　８番窓口
℡０７７－５６１－２３０８（直通）</t>
    <phoneticPr fontId="2"/>
  </si>
  <si>
    <t>年齢
（R8年1月1日時点）</t>
    <rPh sb="0" eb="2">
      <t>ネンレイ</t>
    </rPh>
    <rPh sb="6" eb="7">
      <t>ネン</t>
    </rPh>
    <rPh sb="8" eb="9">
      <t>ガツ</t>
    </rPh>
    <rPh sb="10" eb="11">
      <t>ニチ</t>
    </rPh>
    <rPh sb="11" eb="13">
      <t>ジテン</t>
    </rPh>
    <phoneticPr fontId="2"/>
  </si>
  <si>
    <t>年齢
（R8年4月1日時点）</t>
    <rPh sb="0" eb="2">
      <t>ネンレイ</t>
    </rPh>
    <rPh sb="6" eb="7">
      <t>ネン</t>
    </rPh>
    <rPh sb="8" eb="9">
      <t>ガツ</t>
    </rPh>
    <rPh sb="10" eb="11">
      <t>ニチ</t>
    </rPh>
    <rPh sb="11" eb="13">
      <t>ジテン</t>
    </rPh>
    <phoneticPr fontId="2"/>
  </si>
  <si>
    <t>所得判定
（給与所得者等の数）</t>
    <rPh sb="0" eb="2">
      <t>ショトク</t>
    </rPh>
    <rPh sb="2" eb="4">
      <t>ハンテイ</t>
    </rPh>
    <rPh sb="6" eb="11">
      <t>キュウヨショトクシャ</t>
    </rPh>
    <rPh sb="11" eb="12">
      <t>ナド</t>
    </rPh>
    <rPh sb="13" eb="14">
      <t>カズ</t>
    </rPh>
    <phoneticPr fontId="2"/>
  </si>
  <si>
    <t>医+支+介+子</t>
    <rPh sb="0" eb="1">
      <t>イ</t>
    </rPh>
    <rPh sb="2" eb="3">
      <t>シ</t>
    </rPh>
    <rPh sb="4" eb="5">
      <t>カイ</t>
    </rPh>
    <rPh sb="6" eb="7">
      <t>コ</t>
    </rPh>
    <phoneticPr fontId="2"/>
  </si>
  <si>
    <t>（医+支+介+子）÷12</t>
    <rPh sb="1" eb="2">
      <t>イ</t>
    </rPh>
    <rPh sb="3" eb="4">
      <t>シ</t>
    </rPh>
    <rPh sb="5" eb="6">
      <t>カイ</t>
    </rPh>
    <rPh sb="7" eb="8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</si>
</sst>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0.0%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FF66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6" fontId="7" fillId="0" borderId="0" applyBorder="0" applyProtection="0"/>
  </cellStyleXfs>
  <cellXfs count="1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3" xfId="0" applyFill="1" applyBorder="1">
      <alignment vertical="center"/>
    </xf>
    <xf numFmtId="0" fontId="0" fillId="0" borderId="0" xfId="0" applyBorder="1">
      <alignment vertical="center"/>
    </xf>
    <xf numFmtId="0" fontId="0" fillId="0" borderId="14" xfId="0" applyBorder="1">
      <alignment vertical="center"/>
    </xf>
    <xf numFmtId="38" fontId="0" fillId="0" borderId="1" xfId="0" applyNumberForma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7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1" xfId="0" applyFill="1" applyBorder="1">
      <alignment vertical="center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0" fillId="0" borderId="3" xfId="0" applyFill="1" applyBorder="1">
      <alignment vertical="center"/>
    </xf>
    <xf numFmtId="0" fontId="10" fillId="0" borderId="0" xfId="0" applyFont="1">
      <alignment vertical="center"/>
    </xf>
    <xf numFmtId="177" fontId="11" fillId="4" borderId="21" xfId="2" applyNumberFormat="1" applyFont="1" applyFill="1" applyBorder="1">
      <alignment vertical="center"/>
    </xf>
    <xf numFmtId="177" fontId="11" fillId="4" borderId="1" xfId="2" applyNumberFormat="1" applyFont="1" applyFill="1" applyBorder="1">
      <alignment vertical="center"/>
    </xf>
    <xf numFmtId="10" fontId="11" fillId="4" borderId="22" xfId="2" applyNumberFormat="1" applyFont="1" applyFill="1" applyBorder="1">
      <alignment vertical="center"/>
    </xf>
    <xf numFmtId="38" fontId="11" fillId="4" borderId="21" xfId="1" applyFont="1" applyFill="1" applyBorder="1">
      <alignment vertical="center"/>
    </xf>
    <xf numFmtId="38" fontId="11" fillId="4" borderId="1" xfId="1" applyFont="1" applyFill="1" applyBorder="1">
      <alignment vertical="center"/>
    </xf>
    <xf numFmtId="38" fontId="11" fillId="4" borderId="22" xfId="1" applyFont="1" applyFill="1" applyBorder="1">
      <alignment vertical="center"/>
    </xf>
    <xf numFmtId="38" fontId="11" fillId="4" borderId="27" xfId="1" applyFont="1" applyFill="1" applyBorder="1">
      <alignment vertical="center"/>
    </xf>
    <xf numFmtId="38" fontId="11" fillId="4" borderId="28" xfId="1" applyFont="1" applyFill="1" applyBorder="1">
      <alignment vertical="center"/>
    </xf>
    <xf numFmtId="38" fontId="11" fillId="4" borderId="23" xfId="1" applyFont="1" applyFill="1" applyBorder="1">
      <alignment vertical="center"/>
    </xf>
    <xf numFmtId="0" fontId="11" fillId="0" borderId="0" xfId="0" applyFont="1">
      <alignment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0" fillId="0" borderId="29" xfId="0" applyBorder="1">
      <alignment vertical="center"/>
    </xf>
    <xf numFmtId="38" fontId="11" fillId="0" borderId="0" xfId="1" applyFont="1" applyFill="1" applyBorder="1">
      <alignment vertical="center"/>
    </xf>
    <xf numFmtId="0" fontId="0" fillId="0" borderId="24" xfId="0" applyFill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8" xfId="0" applyBorder="1">
      <alignment vertical="center"/>
    </xf>
    <xf numFmtId="0" fontId="0" fillId="0" borderId="30" xfId="0" applyBorder="1">
      <alignment vertical="center"/>
    </xf>
    <xf numFmtId="0" fontId="0" fillId="0" borderId="23" xfId="0" applyBorder="1">
      <alignment vertical="center"/>
    </xf>
    <xf numFmtId="0" fontId="0" fillId="0" borderId="4" xfId="0" applyFill="1" applyBorder="1">
      <alignment vertical="center"/>
    </xf>
    <xf numFmtId="38" fontId="0" fillId="3" borderId="7" xfId="1" applyFont="1" applyFill="1" applyBorder="1">
      <alignment vertical="center"/>
    </xf>
    <xf numFmtId="38" fontId="0" fillId="3" borderId="9" xfId="1" applyFont="1" applyFill="1" applyBorder="1">
      <alignment vertical="center"/>
    </xf>
    <xf numFmtId="38" fontId="0" fillId="3" borderId="8" xfId="1" applyFont="1" applyFill="1" applyBorder="1">
      <alignment vertical="center"/>
    </xf>
    <xf numFmtId="38" fontId="11" fillId="4" borderId="30" xfId="1" applyFont="1" applyFill="1" applyBorder="1">
      <alignment vertical="center"/>
    </xf>
    <xf numFmtId="38" fontId="11" fillId="4" borderId="31" xfId="1" applyFont="1" applyFill="1" applyBorder="1">
      <alignment vertical="center"/>
    </xf>
    <xf numFmtId="0" fontId="0" fillId="0" borderId="9" xfId="0" applyFill="1" applyBorder="1">
      <alignment vertical="center"/>
    </xf>
    <xf numFmtId="0" fontId="3" fillId="0" borderId="0" xfId="0" applyFont="1">
      <alignment vertical="center"/>
    </xf>
    <xf numFmtId="0" fontId="0" fillId="3" borderId="3" xfId="0" applyFill="1" applyBorder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>
      <alignment vertical="center"/>
    </xf>
    <xf numFmtId="0" fontId="0" fillId="0" borderId="12" xfId="0" applyBorder="1">
      <alignment vertical="center"/>
    </xf>
    <xf numFmtId="0" fontId="8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horizontal="center" vertical="center" wrapText="1"/>
    </xf>
    <xf numFmtId="38" fontId="0" fillId="0" borderId="32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33" xfId="1" applyFont="1" applyBorder="1">
      <alignment vertical="center"/>
    </xf>
    <xf numFmtId="38" fontId="0" fillId="0" borderId="29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35" xfId="1" applyFont="1" applyBorder="1">
      <alignment vertical="center"/>
    </xf>
    <xf numFmtId="38" fontId="0" fillId="0" borderId="36" xfId="1" applyFont="1" applyBorder="1">
      <alignment vertical="center"/>
    </xf>
    <xf numFmtId="38" fontId="0" fillId="0" borderId="37" xfId="1" applyFont="1" applyBorder="1">
      <alignment vertical="center"/>
    </xf>
    <xf numFmtId="38" fontId="0" fillId="0" borderId="38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39" xfId="1" applyFont="1" applyBorder="1">
      <alignment vertical="center"/>
    </xf>
    <xf numFmtId="38" fontId="0" fillId="0" borderId="37" xfId="1" applyFont="1" applyBorder="1" applyAlignment="1">
      <alignment vertical="center" wrapText="1"/>
    </xf>
    <xf numFmtId="0" fontId="0" fillId="0" borderId="33" xfId="0" applyBorder="1">
      <alignment vertical="center"/>
    </xf>
    <xf numFmtId="38" fontId="0" fillId="0" borderId="0" xfId="1" applyFont="1" applyFill="1" applyBorder="1">
      <alignment vertical="center"/>
    </xf>
    <xf numFmtId="38" fontId="0" fillId="2" borderId="7" xfId="1" applyFont="1" applyFill="1" applyBorder="1" applyProtection="1">
      <alignment vertical="center"/>
      <protection locked="0"/>
    </xf>
    <xf numFmtId="38" fontId="0" fillId="2" borderId="9" xfId="1" applyFont="1" applyFill="1" applyBorder="1" applyProtection="1">
      <alignment vertical="center"/>
      <protection locked="0"/>
    </xf>
    <xf numFmtId="38" fontId="0" fillId="2" borderId="8" xfId="1" applyFont="1" applyFill="1" applyBorder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38" fontId="0" fillId="2" borderId="4" xfId="1" applyFont="1" applyFill="1" applyBorder="1" applyAlignment="1" applyProtection="1">
      <alignment horizontal="center" vertical="center"/>
      <protection locked="0"/>
    </xf>
    <xf numFmtId="38" fontId="0" fillId="2" borderId="5" xfId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38" fontId="0" fillId="3" borderId="4" xfId="0" applyNumberFormat="1" applyFill="1" applyBorder="1" applyAlignment="1">
      <alignment horizontal="center" vertical="center"/>
    </xf>
    <xf numFmtId="38" fontId="0" fillId="3" borderId="5" xfId="0" applyNumberFormat="1" applyFill="1" applyBorder="1" applyAlignment="1">
      <alignment horizontal="center" vertical="center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 shrinkToFit="1"/>
    </xf>
    <xf numFmtId="0" fontId="9" fillId="0" borderId="12" xfId="0" applyFont="1" applyBorder="1" applyAlignment="1">
      <alignment horizontal="center" vertical="center" textRotation="255" shrinkToFit="1"/>
    </xf>
    <xf numFmtId="0" fontId="9" fillId="0" borderId="5" xfId="0" applyFont="1" applyBorder="1" applyAlignment="1">
      <alignment horizontal="center" vertical="center" textRotation="255" shrinkToFi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5" borderId="17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38" fontId="4" fillId="5" borderId="17" xfId="1" applyFont="1" applyFill="1" applyBorder="1" applyAlignment="1">
      <alignment horizontal="center" vertical="center"/>
    </xf>
    <xf numFmtId="38" fontId="4" fillId="5" borderId="13" xfId="1" applyFont="1" applyFill="1" applyBorder="1" applyAlignment="1">
      <alignment horizontal="center" vertical="center"/>
    </xf>
    <xf numFmtId="38" fontId="4" fillId="5" borderId="15" xfId="1" applyFont="1" applyFill="1" applyBorder="1" applyAlignment="1">
      <alignment horizontal="center" vertical="center"/>
    </xf>
    <xf numFmtId="38" fontId="4" fillId="5" borderId="16" xfId="1" applyFont="1" applyFill="1" applyBorder="1" applyAlignment="1">
      <alignment horizontal="center" vertical="center"/>
    </xf>
    <xf numFmtId="38" fontId="4" fillId="5" borderId="14" xfId="1" applyFont="1" applyFill="1" applyBorder="1" applyAlignment="1">
      <alignment horizontal="center" vertical="center"/>
    </xf>
    <xf numFmtId="38" fontId="4" fillId="5" borderId="6" xfId="1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</cellXfs>
  <cellStyles count="4">
    <cellStyle name="Excel Built-in Explanatory Text" xfId="3"/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B1:X60"/>
  <sheetViews>
    <sheetView tabSelected="1" topLeftCell="A4" zoomScale="70" zoomScaleNormal="70" workbookViewId="0">
      <selection activeCell="G14" sqref="G14"/>
    </sheetView>
  </sheetViews>
  <sheetFormatPr defaultRowHeight="18.75"/>
  <cols>
    <col min="2" max="2" width="19.25" bestFit="1" customWidth="1"/>
    <col min="3" max="3" width="21.625" customWidth="1"/>
    <col min="4" max="5" width="25.5" bestFit="1" customWidth="1"/>
    <col min="6" max="6" width="18.25" customWidth="1"/>
    <col min="7" max="7" width="15.25" customWidth="1"/>
    <col min="8" max="8" width="15.625" customWidth="1"/>
    <col min="9" max="9" width="15.25" bestFit="1" customWidth="1"/>
    <col min="10" max="10" width="15.375" customWidth="1"/>
    <col min="11" max="11" width="14.375" customWidth="1"/>
    <col min="12" max="12" width="12.625" customWidth="1"/>
    <col min="13" max="13" width="25.75" customWidth="1"/>
    <col min="14" max="14" width="48.75" hidden="1" customWidth="1"/>
    <col min="15" max="15" width="38" hidden="1" customWidth="1"/>
    <col min="16" max="16" width="11" hidden="1" customWidth="1"/>
    <col min="17" max="18" width="19.25" hidden="1" customWidth="1"/>
    <col min="19" max="19" width="23.5" hidden="1" customWidth="1"/>
    <col min="21" max="21" width="10.25" bestFit="1" customWidth="1"/>
    <col min="22" max="22" width="25.5" bestFit="1" customWidth="1"/>
    <col min="23" max="23" width="30" bestFit="1" customWidth="1"/>
    <col min="24" max="24" width="16.875" bestFit="1" customWidth="1"/>
  </cols>
  <sheetData>
    <row r="1" spans="2:24" ht="18.75" customHeight="1">
      <c r="B1" s="75" t="s">
        <v>54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2:24" ht="18.75" customHeight="1"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2:24" ht="18.75" customHeight="1"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2:24" ht="18.75" customHeight="1">
      <c r="B4" s="76" t="s">
        <v>55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2:24" ht="18.75" customHeight="1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2:24" ht="18.75" customHeight="1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</row>
    <row r="7" spans="2:24" ht="19.5" thickBot="1"/>
    <row r="8" spans="2:24" ht="24.75" customHeight="1" thickBot="1">
      <c r="B8" s="2"/>
      <c r="C8" s="46" t="s">
        <v>56</v>
      </c>
      <c r="D8" s="47"/>
      <c r="E8" s="46" t="s">
        <v>57</v>
      </c>
    </row>
    <row r="10" spans="2:24" ht="44.25" customHeight="1">
      <c r="C10" s="55"/>
      <c r="D10" s="52"/>
      <c r="E10" s="54"/>
      <c r="F10" s="54"/>
    </row>
    <row r="11" spans="2:24" ht="29.25" customHeight="1" thickBot="1">
      <c r="C11" s="53"/>
    </row>
    <row r="12" spans="2:24" ht="18.75" customHeight="1" thickBot="1">
      <c r="B12" s="94" t="s">
        <v>1</v>
      </c>
      <c r="C12" s="93" t="s">
        <v>5</v>
      </c>
      <c r="D12" s="87" t="s">
        <v>70</v>
      </c>
      <c r="E12" s="87" t="s">
        <v>69</v>
      </c>
      <c r="F12" s="93" t="s">
        <v>29</v>
      </c>
      <c r="G12" s="14" t="s">
        <v>2</v>
      </c>
      <c r="H12" s="14" t="s">
        <v>3</v>
      </c>
      <c r="I12" s="81" t="s">
        <v>0</v>
      </c>
      <c r="J12" s="81" t="s">
        <v>6</v>
      </c>
      <c r="K12" s="81" t="s">
        <v>25</v>
      </c>
      <c r="L12" s="100" t="s">
        <v>33</v>
      </c>
      <c r="M12" s="83" t="s">
        <v>71</v>
      </c>
      <c r="O12" s="6" t="s">
        <v>22</v>
      </c>
      <c r="P12" s="6" t="s">
        <v>27</v>
      </c>
      <c r="Q12" s="3"/>
      <c r="R12" s="34" t="s">
        <v>42</v>
      </c>
      <c r="S12" s="3"/>
      <c r="T12" s="3"/>
      <c r="U12" s="3"/>
      <c r="V12" s="3"/>
      <c r="W12" s="3"/>
      <c r="X12" s="3"/>
    </row>
    <row r="13" spans="2:24" ht="24.75" thickBot="1">
      <c r="B13" s="95"/>
      <c r="C13" s="88"/>
      <c r="D13" s="88"/>
      <c r="E13" s="88"/>
      <c r="F13" s="88"/>
      <c r="G13" s="15" t="s">
        <v>32</v>
      </c>
      <c r="H13" s="15" t="s">
        <v>4</v>
      </c>
      <c r="I13" s="82"/>
      <c r="J13" s="82"/>
      <c r="K13" s="82"/>
      <c r="L13" s="101"/>
      <c r="M13" s="84"/>
      <c r="O13" s="12" t="s">
        <v>44</v>
      </c>
      <c r="P13" s="12">
        <f>IF(F14="擬主",COUNTA(C14:C23)-1,COUNTA(C14:C23))</f>
        <v>0</v>
      </c>
      <c r="Q13" s="3"/>
      <c r="R13" s="31" t="s">
        <v>23</v>
      </c>
      <c r="S13" s="3"/>
      <c r="T13" s="3"/>
      <c r="U13" s="3"/>
      <c r="V13" s="3"/>
      <c r="W13" s="3"/>
      <c r="X13" s="3"/>
    </row>
    <row r="14" spans="2:24" ht="19.5" thickBot="1">
      <c r="B14" s="95"/>
      <c r="C14" s="97"/>
      <c r="D14" s="79"/>
      <c r="E14" s="79"/>
      <c r="F14" s="79"/>
      <c r="G14" s="72"/>
      <c r="H14" s="40" t="str">
        <f>IF(G14="", "", IF(NOT(ISNUMBER(G14)), "不正な値です",IF(G14 &lt; 0, "不正な値です",MAX(0, IF(G14 &lt;= 1900000, G14 - 650000, IF(G14 &lt;= 3600000, (ROUNDDOWN(G14/4,-3)*4)*0.7-80000, IF(G14 &lt;= 6600000, (ROUNDDOWN(G14/4,-3)*4)*0.8-440000, IF(G14 &lt;= 8500000, G14*0.9-1100000, G14-1950000))))))))</f>
        <v/>
      </c>
      <c r="I14" s="77"/>
      <c r="J14" s="89">
        <f>IF(AND(H14="",H15="",I14=""),0,SUM(H14,H15,I14))-P26</f>
        <v>0</v>
      </c>
      <c r="K14" s="89">
        <f>IF(F14="擬主",0,MAX(0,J14-430000))</f>
        <v>0</v>
      </c>
      <c r="L14" s="89">
        <f>SUM(H14) + IF(E14&gt;=65,MAX((SUM(H15)-150000),0),SUM(H15)) + SUM(I14)-P26</f>
        <v>0</v>
      </c>
      <c r="M14" s="85">
        <f>IF(AND(G14="",H15=""),0,IF(OR(G14&gt;=550000,SUM(H15)&gt;=1),1,0))</f>
        <v>0</v>
      </c>
      <c r="O14" s="1" t="s">
        <v>26</v>
      </c>
      <c r="P14" s="1">
        <f>IF(F14="擬主",IF(AND(D14&gt;=40,D14&lt;=64),COUNTIFS(D14:D23,"&gt;=40",D14:D23,"&lt;=64")-1,COUNTIFS(D14:D23,"&gt;=40",D14:D23,"&lt;=64")),COUNTIFS(D14:D23,"&gt;=40",D14:D23,"&lt;=64"))</f>
        <v>0</v>
      </c>
      <c r="Q14" s="3"/>
      <c r="R14" s="35" t="s">
        <v>24</v>
      </c>
      <c r="S14" s="3"/>
      <c r="T14" s="3"/>
      <c r="U14" s="3"/>
      <c r="V14" s="3"/>
      <c r="W14" s="3"/>
      <c r="X14" s="3"/>
    </row>
    <row r="15" spans="2:24" ht="19.5" thickBot="1">
      <c r="B15" s="95"/>
      <c r="C15" s="98"/>
      <c r="D15" s="80"/>
      <c r="E15" s="80"/>
      <c r="F15" s="80"/>
      <c r="G15" s="73"/>
      <c r="H15" s="41" t="str">
        <f>IF(ISBLANK(G15),"",IF(NOT(ISNUMBER(G15)),"不正な値です",MAX(0,FLOOR(IF(AND(P34=0,P41=0,G15&lt;=1299999),(G15*1)-600000,IF(AND(P34=0,P41=0,G15&lt;=4099999),(G15*0.75)-275000,IF(AND(P34=0,P41=0,G15&lt;=7699999),(G15*0.85)-685000,IF(AND(P34=0,P41=0,G15&lt;=9999999),(G15*0.95)-1455000,IF(AND(P34=0,P41=0,G15&gt;=10000000),(G15*1)-1955000,IF(AND(P34=0,P41=1,G15&lt;=1299999),(G15*1)-500000,IF(AND(P34=0,P41=1,G15&lt;=4099999),(G15*0.75)-175000,IF(AND(P34=0,P41=1,G15&lt;=7699999),(G15*0.85)-585000,IF(AND(P34=0,P41=1,G15&lt;=9999999),(G15*0.95)-1355000,IF(AND(P34=0,P41=1,G15&gt;=10000000),(G15*1)-1855000,IF(AND(P34=0,P41=2,G15&lt;=1299999),(G15*1)-400000,IF(AND(P34=0,P41=2,G15&lt;=4099999),(G15*0.75)-75000,IF(AND(P34=0,P41=2,G15&lt;=7699999),(G15*0.85)-485000,IF(AND(P34=0,P41=2,G15&lt;=9999999),(G15*0.95)-1255000,IF(AND(P34=0,P41=2,G15&gt;=10000000),(G15*1)-1755000,IF(AND(P34=1,P41=0,G15&lt;=3299999),(G15*1)-1100000,IF(AND(P34=1,P41=0,G15&lt;=4099999),(G15*0.75)-275000,IF(AND(P34=1,P41=0,G15&lt;=7699999),(G15*0.85)-685000,IF(AND(P34=1,P41=0,G15&lt;=9999999),(G15*0.95)-1455000,IF(AND(P34=1,P41=0,G15&gt;=10000000),(G15*1)-1955000,IF(AND(P34=1,P41=1,G15&lt;=3299999),(G15*1)-1000000,IF(AND(P34=1,P41=1,G15&lt;=4099999),(G15*0.75)-175000,IF(AND(P34=1,P41=1,G15&lt;=7699999),(G15*0.85)-585000,IF(AND(P34=1,P41=1,G15&lt;=9999999),(G15*0.95)-1355000,IF(AND(P34=1,P41=1,G15&gt;=10000000),(G15*1)-1855000,IF(AND(P34=1,P41=2,G15&lt;=3299999),(G15*1)-900000,IF(AND(P34=1,P41=2,G15&lt;=4099999),(G15*0.75)-75000,IF(AND(P34=1,P41=2,G15&lt;=7699999),(G15*0.85)-485000,IF(AND(P34=1,P41=2,G15&lt;=9999999),(G15*0.95)-1255000,IF(AND(P34=1,P41=2,G15&gt;=10000000),(G15*1)-1755000,0)))))))))))))))))))))))))))))),1000))))</f>
        <v/>
      </c>
      <c r="I15" s="78"/>
      <c r="J15" s="90"/>
      <c r="K15" s="90"/>
      <c r="L15" s="90"/>
      <c r="M15" s="86"/>
      <c r="O15" s="13" t="s">
        <v>28</v>
      </c>
      <c r="P15" s="1">
        <f>IF(F14="擬主",IF(AND(D14&gt;=40,D14&lt;=64),SUMIFS(K14:K23,D14:D23,"&gt;=40",D14:D23,"&lt;=64")-K14,SUMIFS(K14:K23,D14:D23,"&gt;=40",D14:D23,"&lt;=64")),SUMIFS(K14:K23,D14:D23,"&gt;=40",D14:D23,"&lt;=64"))</f>
        <v>0</v>
      </c>
      <c r="Q15" s="3"/>
      <c r="S15" s="3"/>
      <c r="T15" s="3"/>
      <c r="U15" s="3"/>
      <c r="V15" s="3"/>
      <c r="W15" s="3"/>
      <c r="X15" s="3"/>
    </row>
    <row r="16" spans="2:24">
      <c r="B16" s="95"/>
      <c r="C16" s="99"/>
      <c r="D16" s="79"/>
      <c r="E16" s="79"/>
      <c r="F16" s="91"/>
      <c r="G16" s="72"/>
      <c r="H16" s="40" t="str">
        <f>IF(G16="", "", IF(NOT(ISNUMBER(G16)), "不正な値です", IF(G16 &lt; 0, "不正な値です",MAX(0, IF(G16 &lt;= 1900000, G16 - 650000, IF(G16 &lt;= 3600000, (ROUNDDOWN(G16/4,-3)*4)*0.7-80000, IF(G16 &lt;= 6600000, (ROUNDDOWN(G16/4,-3)*4)*0.8-440000, IF(G16 &lt;= 8500000, G16*0.9-1100000, G16-1950000))))))))</f>
        <v/>
      </c>
      <c r="I16" s="77"/>
      <c r="J16" s="89">
        <f>IF(AND(H16="",H17="",I16=""),0,SUM(H16,H17,I16))-P27</f>
        <v>0</v>
      </c>
      <c r="K16" s="89">
        <f>MAX(0,J16-430000)</f>
        <v>0</v>
      </c>
      <c r="L16" s="89">
        <f>SUM(H16) + IF(E16&gt;=65,MAX((SUM(H17)-150000),0),SUM(H17)) + SUM(I16)-P27</f>
        <v>0</v>
      </c>
      <c r="M16" s="85">
        <f>IF(AND(G16="",H17=""),0,IF(OR(G16&gt;=550000,SUM(H17)&gt;=1),1,0))</f>
        <v>0</v>
      </c>
      <c r="O16" s="13" t="s">
        <v>41</v>
      </c>
      <c r="P16" s="1">
        <f>COUNTIF(D14:D23,"&gt;=18")</f>
        <v>0</v>
      </c>
      <c r="Q16" s="3"/>
      <c r="S16" s="3"/>
      <c r="T16" s="3"/>
      <c r="U16" s="3"/>
      <c r="V16" s="3"/>
      <c r="W16" s="3"/>
      <c r="X16" s="3"/>
    </row>
    <row r="17" spans="2:24" ht="19.5" thickBot="1">
      <c r="B17" s="95"/>
      <c r="C17" s="98"/>
      <c r="D17" s="80"/>
      <c r="E17" s="80"/>
      <c r="F17" s="92"/>
      <c r="G17" s="73"/>
      <c r="H17" s="41" t="str">
        <f>IF(ISBLANK(G17),"",IF(NOT(ISNUMBER(G17)),"不正な値です",MAX(0,FLOOR(IF(AND(P35=0,P42=0,G17&lt;=1299999),(G17*1)-600000,IF(AND(P35=0,P42=0,G17&lt;=4099999),(G17*0.75)-275000,IF(AND(P35=0,P42=0,G17&lt;=7699999),(G17*0.85)-685000,IF(AND(P35=0,P42=0,G17&lt;=9999999),(G17*0.95)-1455000,IF(AND(P35=0,P42=0,G17&gt;=10000000),(G17*1)-1955000,IF(AND(P35=0,P42=1,G17&lt;=1299999),(G17*1)-500000,IF(AND(P35=0,P42=1,G17&lt;=4099999),(G17*0.75)-175000,IF(AND(P35=0,P42=1,G17&lt;=7699999),(G17*0.85)-585000,IF(AND(P35=0,P42=1,G17&lt;=9999999),(G17*0.95)-1355000,IF(AND(P35=0,P42=1,G17&gt;=10000000),(G17*1)-1855000,IF(AND(P35=0,P42=2,G17&lt;=1299999),(G17*1)-400000,IF(AND(P35=0,P42=2,G17&lt;=4099999),(G17*0.75)-75000,IF(AND(P35=0,P42=2,G17&lt;=7699999),(G17*0.85)-485000,IF(AND(P35=0,P42=2,G17&lt;=9999999),(G17*0.95)-1255000,IF(AND(P35=0,P42=2,G17&gt;=10000000),(G17*1)-1755000,IF(AND(P35=1,P42=0,G17&lt;=3299999),(G17*1)-1100000,IF(AND(P35=1,P42=0,G17&lt;=4099999),(G17*0.75)-275000,IF(AND(P35=1,P42=0,G17&lt;=7699999),(G17*0.85)-685000,IF(AND(P35=1,P42=0,G17&lt;=9999999),(G17*0.95)-1455000,IF(AND(P35=1,P42=0,G17&gt;=10000000),(G17*1)-1955000,IF(AND(P35=1,P42=1,G17&lt;=3299999),(G17*1)-1000000,IF(AND(P35=1,P42=1,G17&lt;=4099999),(G17*0.75)-175000,IF(AND(P35=1,P42=1,G17&lt;=7699999),(G17*0.85)-585000,IF(AND(P35=1,P42=1,G17&lt;=9999999),(G17*0.95)-1355000,IF(AND(P35=1,P42=1,G17&gt;=10000000),(G17*1)-1855000,IF(AND(P35=1,P42=2,G17&lt;=3299999),(G17*1)-900000,IF(AND(P35=1,P42=2,G17&lt;=4099999),(G17*0.75)-75000,IF(AND(P35=1,P42=2,G17&lt;=7699999),(G17*0.85)-485000,IF(AND(P35=1,P42=2,G17&lt;=9999999),(G17*0.95)-1255000,IF(AND(P35=1,P42=2,G17&gt;=10000000),(G17*1)-1755000,0)))))))))))))))))))))))))))))),1000))))</f>
        <v/>
      </c>
      <c r="I17" s="78"/>
      <c r="J17" s="90"/>
      <c r="K17" s="90"/>
      <c r="L17" s="90"/>
      <c r="M17" s="86"/>
      <c r="O17" s="13" t="s">
        <v>43</v>
      </c>
      <c r="P17" s="1">
        <f>COUNTIF(D14:D23,"&lt;18")</f>
        <v>0</v>
      </c>
      <c r="S17" s="3"/>
      <c r="T17" s="3"/>
      <c r="U17" s="3"/>
      <c r="V17" s="3"/>
      <c r="W17" s="3"/>
      <c r="X17" s="3"/>
    </row>
    <row r="18" spans="2:24" ht="19.5" thickBot="1">
      <c r="B18" s="95"/>
      <c r="C18" s="99"/>
      <c r="D18" s="79"/>
      <c r="E18" s="79"/>
      <c r="F18" s="91"/>
      <c r="G18" s="72"/>
      <c r="H18" s="40" t="str">
        <f>IF(G18="", "", IF(NOT(ISNUMBER(G18)), "不正な値です", IF(G18 &lt; 0, "不正な値です",MAX(0, IF(G18 &lt;= 1900000, G18 - 650000, IF(G18 &lt;= 3600000, (ROUNDDOWN(G18/4,-3)*4)*0.7-80000, IF(G18 &lt;= 6600000, (ROUNDDOWN(G18/4,-3)*4)*0.8-440000, IF(G18 &lt;= 8500000, G18*0.9-1100000, G18-1950000))))))))</f>
        <v/>
      </c>
      <c r="I18" s="77"/>
      <c r="J18" s="89">
        <f>IF(AND(H18="",H19="",I18=""),0,SUM(H18,H19,I18))-P28</f>
        <v>0</v>
      </c>
      <c r="K18" s="89">
        <f>MAX(0,J18-430000)</f>
        <v>0</v>
      </c>
      <c r="L18" s="89">
        <f>SUM(H18) + IF(E18&gt;=65,MAX((SUM(H19)-150000),0),SUM(H19)) + SUM(I18)-P28</f>
        <v>0</v>
      </c>
      <c r="M18" s="85">
        <f>IF(AND(G18="",H19=""),0,IF(OR(G18&gt;=550000,SUM(H19)&gt;=1),1,0))</f>
        <v>0</v>
      </c>
      <c r="S18" s="3"/>
      <c r="T18" s="3"/>
      <c r="U18" s="3"/>
      <c r="V18" s="3"/>
      <c r="W18" s="3"/>
      <c r="X18" s="3"/>
    </row>
    <row r="19" spans="2:24" ht="19.5" thickBot="1">
      <c r="B19" s="95"/>
      <c r="C19" s="98"/>
      <c r="D19" s="80"/>
      <c r="E19" s="80"/>
      <c r="F19" s="92"/>
      <c r="G19" s="73"/>
      <c r="H19" s="41" t="str">
        <f>IF(ISBLANK(G19),"",IF(NOT(ISNUMBER(G19)),"不正な値です",MAX(0,FLOOR(IF(AND(P36=0,P43=0,G19&lt;=1299999),(G19*1)-600000,IF(AND(P36=0,P43=0,G19&lt;=4099999),(G19*0.75)-275000,IF(AND(P36=0,P43=0,G19&lt;=7699999),(G19*0.85)-685000,IF(AND(P36=0,P43=0,G19&lt;=9999999),(G19*0.95)-1455000,IF(AND(P36=0,P43=0,G19&gt;=10000000),(G19*1)-1955000,IF(AND(P36=0,P43=1,G19&lt;=1299999),(G19*1)-500000,IF(AND(P36=0,P43=1,G19&lt;=4099999),(G19*0.75)-175000,IF(AND(P36=0,P43=1,G19&lt;=7699999),(G19*0.85)-585000,IF(AND(P36=0,P43=1,G19&lt;=9999999),(G19*0.95)-1355000,IF(AND(P36=0,P43=1,G19&gt;=10000000),(G19*1)-1855000,IF(AND(P36=0,P43=2,G19&lt;=1299999),(G19*1)-400000,IF(AND(P36=0,P43=2,G19&lt;=4099999),(G19*0.75)-75000,IF(AND(P36=0,P43=2,G19&lt;=7699999),(G19*0.85)-485000,IF(AND(P36=0,P43=2,G19&lt;=9999999),(G19*0.95)-1255000,IF(AND(P36=0,P43=2,G19&gt;=10000000),(G19*1)-1755000,IF(AND(P36=1,P43=0,G19&lt;=3299999),(G19*1)-1100000,IF(AND(P36=1,P43=0,G19&lt;=4099999),(G19*0.75)-275000,IF(AND(P36=1,P43=0,G19&lt;=7699999),(G19*0.85)-685000,IF(AND(P36=1,P43=0,G19&lt;=9999999),(G19*0.95)-1455000,IF(AND(P36=1,P43=0,G19&gt;=10000000),(G19*1)-1955000,IF(AND(P36=1,P43=1,G19&lt;=3299999),(G19*1)-1000000,IF(AND(P36=1,P43=1,G19&lt;=4099999),(G19*0.75)-175000,IF(AND(P36=1,P43=1,G19&lt;=7699999),(G19*0.85)-585000,IF(AND(P36=1,P43=1,G19&lt;=9999999),(G19*0.95)-1355000,IF(AND(P36=1,P43=1,G19&gt;=10000000),(G19*1)-1855000,IF(AND(P36=1,P43=2,G19&lt;=3299999),(G19*1)-900000,IF(AND(P36=1,P43=2,G19&lt;=4099999),(G19*0.75)-75000,IF(AND(P36=1,P43=2,G19&lt;=7699999),(G19*0.85)-485000,IF(AND(P36=1,P43=2,G19&lt;=9999999),(G19*0.95)-1255000,IF(AND(P36=1,P43=2,G19&gt;=10000000),(G19*1)-1755000,0)))))))))))))))))))))))))))))),1000))))</f>
        <v/>
      </c>
      <c r="I19" s="78"/>
      <c r="J19" s="90"/>
      <c r="K19" s="90"/>
      <c r="L19" s="90"/>
      <c r="M19" s="86"/>
      <c r="O19" s="16" t="s">
        <v>31</v>
      </c>
      <c r="Q19" s="3"/>
      <c r="S19" s="3"/>
      <c r="T19" s="3"/>
      <c r="U19" s="3"/>
      <c r="V19" s="3"/>
      <c r="W19" s="3"/>
      <c r="X19" s="3"/>
    </row>
    <row r="20" spans="2:24">
      <c r="B20" s="95"/>
      <c r="C20" s="99"/>
      <c r="D20" s="79"/>
      <c r="E20" s="79"/>
      <c r="F20" s="91"/>
      <c r="G20" s="72"/>
      <c r="H20" s="40" t="str">
        <f>IF(G20="", "", IF(NOT(ISNUMBER(G20)), "不正な値です", IF(G20 &lt; 0, "不正な値です",MAX(0, IF(G20 &lt;= 1900000, G20 - 650000, IF(G20 &lt;= 3600000, (ROUNDDOWN(G20/4,-3)*4)*0.7-80000, IF(G20 &lt;= 6600000, (ROUNDDOWN(G20/4,-3)*4)*0.8-440000, IF(G20 &lt;= 8500000, G20*0.9-1100000, G20-1950000))))))))</f>
        <v/>
      </c>
      <c r="I20" s="77"/>
      <c r="J20" s="89">
        <f>IF(AND(H20="",H21="",I20=""),0,SUM(H20,H21,I20))-P29</f>
        <v>0</v>
      </c>
      <c r="K20" s="89">
        <f>MAX(0,J20-430000)</f>
        <v>0</v>
      </c>
      <c r="L20" s="89">
        <f>SUM(H20) + IF(E20&gt;=65,MAX((SUM(H21)-150000),0),SUM(H21)) + SUM(I20)-P29</f>
        <v>0</v>
      </c>
      <c r="M20" s="85">
        <f>IF(AND(G20="",H21=""),0,IF(OR(G20&gt;=550000,SUM(H21)&gt;=1),1,0))</f>
        <v>0</v>
      </c>
      <c r="O20" s="33" t="s">
        <v>34</v>
      </c>
      <c r="P20" s="1">
        <f>SUM(M14:M23)</f>
        <v>0</v>
      </c>
      <c r="Q20" s="3"/>
      <c r="S20" s="3"/>
      <c r="T20" s="3"/>
      <c r="U20" s="3"/>
      <c r="V20" s="3"/>
      <c r="W20" s="3"/>
      <c r="X20" s="3"/>
    </row>
    <row r="21" spans="2:24" ht="19.5" thickBot="1">
      <c r="B21" s="95"/>
      <c r="C21" s="98"/>
      <c r="D21" s="80"/>
      <c r="E21" s="80"/>
      <c r="F21" s="92"/>
      <c r="G21" s="73"/>
      <c r="H21" s="41" t="str">
        <f>IF(ISBLANK(G21),"",IF(NOT(ISNUMBER(G21)),"不正な値です",MAX(0,FLOOR(IF(AND(P37=0,P44=0,G21&lt;=1299999),(G21*1)-600000,IF(AND(P37=0,P44=0,G21&lt;=4099999),(G21*0.75)-275000,IF(AND(P37=0,P44=0,G21&lt;=7699999),(G21*0.85)-685000,IF(AND(P37=0,P44=0,G21&lt;=9999999),(G21*0.95)-1455000,IF(AND(P37=0,P44=0,G21&gt;=10000000),(G21*1)-1955000,IF(AND(P37=0,P44=1,G21&lt;=1299999),(G21*1)-500000,IF(AND(P37=0,P44=1,G21&lt;=4099999),(G21*0.75)-175000,IF(AND(P37=0,P44=1,G21&lt;=7699999),(G21*0.85)-585000,IF(AND(P37=0,P44=1,G21&lt;=9999999),(G21*0.95)-1355000,IF(AND(P37=0,P44=1,G21&gt;=10000000),(G21*1)-1855000,IF(AND(P37=0,P44=2,G21&lt;=1299999),(G21*1)-400000,IF(AND(P37=0,P44=2,G21&lt;=4099999),(G21*0.75)-75000,IF(AND(P37=0,P44=2,G21&lt;=7699999),(G21*0.85)-485000,IF(AND(P37=0,P44=2,G21&lt;=9999999),(G21*0.95)-1255000,IF(AND(P37=0,P44=2,G21&gt;=10000000),(G21*1)-1755000,IF(AND(P37=1,P44=0,G21&lt;=3299999),(G21*1)-1100000,IF(AND(P37=1,P44=0,G21&lt;=4099999),(G21*0.75)-275000,IF(AND(P37=1,P44=0,G21&lt;=7699999),(G21*0.85)-685000,IF(AND(P37=1,P44=0,G21&lt;=9999999),(G21*0.95)-1455000,IF(AND(P37=1,P44=0,G21&gt;=10000000),(G21*1)-1955000,IF(AND(P37=1,P44=1,G21&lt;=3299999),(G21*1)-1000000,IF(AND(P37=1,P44=1,G21&lt;=4099999),(G21*0.75)-175000,IF(AND(P37=1,P44=1,G21&lt;=7699999),(G21*0.85)-585000,IF(AND(P37=1,P44=1,G21&lt;=9999999),(G21*0.95)-1355000,IF(AND(P37=1,P44=1,G21&gt;=10000000),(G21*1)-1855000,IF(AND(P37=1,P44=2,G21&lt;=3299999),(G21*1)-900000,IF(AND(P37=1,P44=2,G21&lt;=4099999),(G21*0.75)-75000,IF(AND(P37=1,P44=2,G21&lt;=7699999),(G21*0.85)-485000,IF(AND(P37=1,P44=2,G21&lt;=9999999),(G21*0.95)-1255000,IF(AND(P37=1,P44=2,G21&gt;=10000000),(G21*1)-1755000,0)))))))))))))))))))))))))))))),1000))))</f>
        <v/>
      </c>
      <c r="I21" s="78"/>
      <c r="J21" s="90"/>
      <c r="K21" s="90"/>
      <c r="L21" s="90"/>
      <c r="M21" s="86"/>
      <c r="O21" s="13" t="s">
        <v>45</v>
      </c>
      <c r="P21" s="1">
        <f>SUM(L14:L23)</f>
        <v>0</v>
      </c>
      <c r="Q21" s="3"/>
      <c r="S21" s="3"/>
      <c r="T21" s="3"/>
      <c r="U21" s="3"/>
      <c r="V21" s="3"/>
      <c r="W21" s="3"/>
      <c r="X21" s="3"/>
    </row>
    <row r="22" spans="2:24">
      <c r="B22" s="95"/>
      <c r="C22" s="99"/>
      <c r="D22" s="79"/>
      <c r="E22" s="79"/>
      <c r="F22" s="91"/>
      <c r="G22" s="72"/>
      <c r="H22" s="40" t="str">
        <f>IF(G22="", "", IF(NOT(ISNUMBER(G22)), "不正な値です", IF(G22 &lt; 0, "不正な値です",MAX(0, IF(G22 &lt;= 1900000, G22 - 650000, IF(G22 &lt;= 3600000, (ROUNDDOWN(G22/4,-3)*4)*0.7-80000, IF(G22 &lt;= 6600000, (ROUNDDOWN(G22/4,-3)*4)*0.8-440000, IF(G22 &lt;= 8500000, G22*0.9-1100000, G22-1950000))))))))</f>
        <v/>
      </c>
      <c r="I22" s="77"/>
      <c r="J22" s="89">
        <f>IF(AND(H22="",H23="",I22=""),0,SUM(H22,H23,I22))-P30</f>
        <v>0</v>
      </c>
      <c r="K22" s="89">
        <f>MAX(0,J22-430000)</f>
        <v>0</v>
      </c>
      <c r="L22" s="89">
        <f>SUM(H22) + IF(E22&gt;=65,MAX((SUM(H23)-150000),0),SUM(H23)) + SUM(I22)-P30</f>
        <v>0</v>
      </c>
      <c r="M22" s="85">
        <f>IF(AND(G22="",H23=""),0,IF(OR(G22&gt;=550000,SUM(H23)&gt;=1),1,0))</f>
        <v>0</v>
      </c>
      <c r="O22" s="13" t="s">
        <v>38</v>
      </c>
      <c r="P22" s="1">
        <f>COUNTIF(D14:D23,"&lt;=5")</f>
        <v>0</v>
      </c>
      <c r="Q22" s="3"/>
      <c r="S22" s="3"/>
      <c r="T22" s="3"/>
      <c r="U22" s="3"/>
      <c r="V22" s="3"/>
      <c r="W22" s="3"/>
      <c r="X22" s="3"/>
    </row>
    <row r="23" spans="2:24" ht="19.5" thickBot="1">
      <c r="B23" s="96"/>
      <c r="C23" s="98"/>
      <c r="D23" s="80"/>
      <c r="E23" s="80"/>
      <c r="F23" s="92"/>
      <c r="G23" s="74"/>
      <c r="H23" s="42" t="str">
        <f>IF(ISBLANK(G23),"",IF(NOT(ISNUMBER(G23)),"不正な値です",MAX(0,FLOOR(IF(AND(P38=0,P45=0,G23&lt;=1299999),(G23*1)-600000,IF(AND(P38=0,P45=0,G23&lt;=4099999),(G23*0.75)-275000,IF(AND(P38=0,P45=0,G23&lt;=7699999),(G23*0.85)-685000,IF(AND(P38=0,P45=0,G23&lt;=9999999),(G23*0.95)-1455000,IF(AND(P38=0,P45=0,G23&gt;=10000000),(G23*1)-1955000,IF(AND(P38=0,P45=1,G23&lt;=1299999),(G23*1)-500000,IF(AND(P38=0,P45=1,G23&lt;=4099999),(G23*0.75)-175000,IF(AND(P38=0,P45=1,G23&lt;=7699999),(G23*0.85)-585000,IF(AND(P38=0,P45=1,G23&lt;=9999999),(G23*0.95)-1355000,IF(AND(P38=0,P45=1,G23&gt;=10000000),(G23*1)-1855000,IF(AND(P38=0,P45=2,G23&lt;=1299999),(G23*1)-400000,IF(AND(P38=0,P45=2,G23&lt;=4099999),(G23*0.75)-75000,IF(AND(P38=0,P45=2,G23&lt;=7699999),(G23*0.85)-485000,IF(AND(P38=0,P45=2,G23&lt;=9999999),(G23*0.95)-1255000,IF(AND(P38=0,P45=2,G23&gt;=10000000),(G23*1)-1755000,IF(AND(P38=1,P45=0,G23&lt;=3299999),(G23*1)-1100000,IF(AND(P38=1,P45=0,G23&lt;=4099999),(G23*0.75)-275000,IF(AND(P38=1,P45=0,G23&lt;=7699999),(G23*0.85)-685000,IF(AND(P38=1,P45=0,G23&lt;=9999999),(G23*0.95)-1455000,IF(AND(P38=1,P45=0,G23&gt;=10000000),(G23*1)-1955000,IF(AND(P38=1,P45=1,G23&lt;=3299999),(G23*1)-1000000,IF(AND(P38=1,P45=1,G23&lt;=4099999),(G23*0.75)-175000,IF(AND(P38=1,P45=1,G23&lt;=7699999),(G23*0.85)-585000,IF(AND(P38=1,P45=1,G23&lt;=9999999),(G23*0.95)-1355000,IF(AND(P38=1,P45=1,G23&gt;=10000000),(G23*1)-1855000,IF(AND(P38=1,P45=2,G23&lt;=3299999),(G23*1)-900000,IF(AND(P38=1,P45=2,G23&lt;=4099999),(G23*0.75)-75000,IF(AND(P38=1,P45=2,G23&lt;=7699999),(G23*0.85)-485000,IF(AND(P38=1,P45=2,G23&lt;=9999999),(G23*0.95)-1255000,IF(AND(P38=1,P45=2,G23&gt;=10000000),(G23*1)-1755000,0)))))))))))))))))))))))))))))),1000))))</f>
        <v/>
      </c>
      <c r="I23" s="78"/>
      <c r="J23" s="90"/>
      <c r="K23" s="90"/>
      <c r="L23" s="90"/>
      <c r="M23" s="86"/>
      <c r="O23" s="13" t="s">
        <v>39</v>
      </c>
      <c r="P23" s="1" t="str">
        <f>IF(C37=0,"軽減非該当",IF(C37=13300,"7割軽減",IF(C37=9500,"5割軽減",IF(C37=3800,"2割軽減","軽減非該当"))))</f>
        <v>軽減非該当</v>
      </c>
      <c r="S23" s="3"/>
      <c r="T23" s="3"/>
      <c r="U23" s="3"/>
      <c r="V23" s="3"/>
      <c r="W23" s="3"/>
      <c r="X23" s="3"/>
    </row>
    <row r="24" spans="2:24" ht="19.5" thickBot="1">
      <c r="S24" s="3"/>
      <c r="T24" s="3"/>
      <c r="U24" s="3"/>
      <c r="V24" s="3"/>
      <c r="W24" s="3"/>
      <c r="X24" s="3"/>
    </row>
    <row r="25" spans="2:24" ht="20.25" thickBot="1">
      <c r="G25" s="71"/>
      <c r="H25" s="17" t="s">
        <v>19</v>
      </c>
      <c r="I25" s="27"/>
      <c r="J25" s="27"/>
      <c r="K25" s="27"/>
      <c r="O25" s="6" t="s">
        <v>67</v>
      </c>
      <c r="P25" s="49"/>
      <c r="S25" s="3"/>
      <c r="T25" s="3"/>
      <c r="U25" s="3"/>
      <c r="V25" s="3"/>
      <c r="W25" s="3"/>
      <c r="X25" s="3"/>
    </row>
    <row r="26" spans="2:24" ht="20.25" thickBot="1">
      <c r="C26" s="7" t="s">
        <v>12</v>
      </c>
      <c r="D26" s="7" t="s">
        <v>13</v>
      </c>
      <c r="E26" s="7" t="s">
        <v>14</v>
      </c>
      <c r="F26" s="4" t="s">
        <v>15</v>
      </c>
      <c r="G26" s="3"/>
      <c r="H26" s="28" t="s">
        <v>12</v>
      </c>
      <c r="I26" s="29" t="s">
        <v>13</v>
      </c>
      <c r="J26" s="29" t="s">
        <v>14</v>
      </c>
      <c r="K26" s="30" t="s">
        <v>15</v>
      </c>
      <c r="O26" s="12" t="s">
        <v>62</v>
      </c>
      <c r="P26" s="5">
        <f>MAX(0,MIN(SUM(H14),100000)+MIN(SUM(H15),100000)-100000)</f>
        <v>0</v>
      </c>
      <c r="S26" s="3"/>
      <c r="T26" s="3"/>
      <c r="U26" s="3"/>
      <c r="V26" s="3"/>
      <c r="W26" s="3"/>
      <c r="X26" s="3"/>
    </row>
    <row r="27" spans="2:24" ht="20.25" thickBot="1">
      <c r="B27" s="6" t="s">
        <v>8</v>
      </c>
      <c r="C27" s="4">
        <f>P13</f>
        <v>0</v>
      </c>
      <c r="D27" s="7">
        <f>P13</f>
        <v>0</v>
      </c>
      <c r="E27" s="7">
        <f>P14</f>
        <v>0</v>
      </c>
      <c r="F27" s="4">
        <f>P13</f>
        <v>0</v>
      </c>
      <c r="G27" s="3"/>
      <c r="H27" s="18">
        <v>6.9000000000000006E-2</v>
      </c>
      <c r="I27" s="19">
        <v>2.7E-2</v>
      </c>
      <c r="J27" s="19">
        <v>2.4E-2</v>
      </c>
      <c r="K27" s="20">
        <v>2.5000000000000001E-3</v>
      </c>
      <c r="O27" s="51" t="s">
        <v>63</v>
      </c>
      <c r="P27" s="5">
        <f>MAX(0,MIN(SUM(H16),100000)+MIN(SUM(H17),100000)-100000)</f>
        <v>0</v>
      </c>
      <c r="S27" s="3"/>
      <c r="T27" s="3"/>
      <c r="U27" s="3"/>
      <c r="V27" s="3"/>
      <c r="W27" s="3"/>
      <c r="X27" s="3"/>
    </row>
    <row r="28" spans="2:24" ht="20.25" thickBot="1">
      <c r="B28" s="7" t="s">
        <v>40</v>
      </c>
      <c r="C28" s="67">
        <f>IF(F14="擬主",P16-1,P16)</f>
        <v>0</v>
      </c>
      <c r="D28" s="7">
        <f>IF(F14="擬主",P16-1,P16)</f>
        <v>0</v>
      </c>
      <c r="E28" s="7">
        <f>IF(F14="擬主",P16-1,P16)</f>
        <v>0</v>
      </c>
      <c r="F28" s="4">
        <f>IF(F14="擬主",P16-1,P16)</f>
        <v>0</v>
      </c>
      <c r="G28" s="3"/>
      <c r="H28" s="21">
        <v>29000</v>
      </c>
      <c r="I28" s="22">
        <v>11200</v>
      </c>
      <c r="J28" s="22">
        <v>11500</v>
      </c>
      <c r="K28" s="23">
        <v>1221</v>
      </c>
      <c r="O28" s="51" t="s">
        <v>64</v>
      </c>
      <c r="P28" s="5">
        <f>MAX(0,MIN(SUM(H18),100000)+MIN(SUM(H19),100000)-100000)</f>
        <v>0</v>
      </c>
      <c r="S28" s="3"/>
      <c r="T28" s="3"/>
      <c r="U28" s="3"/>
      <c r="V28" s="3"/>
      <c r="W28" s="3"/>
      <c r="X28" s="3"/>
    </row>
    <row r="29" spans="2:24" ht="19.5">
      <c r="B29" s="34" t="s">
        <v>7</v>
      </c>
      <c r="C29" s="63">
        <f>SUM(K14:K23)</f>
        <v>0</v>
      </c>
      <c r="D29" s="57">
        <f>SUM(K14:K23)</f>
        <v>0</v>
      </c>
      <c r="E29" s="57">
        <f>IF(E27=0,0,P15)</f>
        <v>0</v>
      </c>
      <c r="F29" s="63">
        <f>SUM(K14:K23)</f>
        <v>0</v>
      </c>
      <c r="G29" s="3"/>
      <c r="H29" s="21">
        <v>19000</v>
      </c>
      <c r="I29" s="22">
        <v>7300</v>
      </c>
      <c r="J29" s="22">
        <v>6100</v>
      </c>
      <c r="K29" s="23">
        <v>754</v>
      </c>
      <c r="O29" s="51" t="s">
        <v>65</v>
      </c>
      <c r="P29" s="5">
        <f>MAX(0,MIN(SUM(H20),100000)+MIN(SUM(H21),100000)-100000)</f>
        <v>0</v>
      </c>
      <c r="S29" s="3"/>
      <c r="T29" s="3"/>
      <c r="U29" s="3"/>
      <c r="V29" s="3"/>
      <c r="W29" s="3"/>
      <c r="X29" s="3"/>
    </row>
    <row r="30" spans="2:24" ht="20.25" thickBot="1">
      <c r="B30" s="31" t="s">
        <v>30</v>
      </c>
      <c r="C30" s="64">
        <f>P21</f>
        <v>0</v>
      </c>
      <c r="D30" s="58">
        <f>P21</f>
        <v>0</v>
      </c>
      <c r="E30" s="58">
        <f>IF(E27=0,0,P21)</f>
        <v>0</v>
      </c>
      <c r="F30" s="64">
        <f>P21</f>
        <v>0</v>
      </c>
      <c r="G30" s="3"/>
      <c r="H30" s="24"/>
      <c r="I30" s="25"/>
      <c r="J30" s="25"/>
      <c r="K30" s="26">
        <v>54</v>
      </c>
      <c r="O30" s="51" t="s">
        <v>66</v>
      </c>
      <c r="P30" s="5">
        <f>MAX(0,MIN(SUM(H22),100000)+MIN(SUM(H23),100000)-100000)</f>
        <v>0</v>
      </c>
      <c r="S30" s="3"/>
      <c r="T30" s="3"/>
      <c r="U30" s="3"/>
      <c r="V30" s="3"/>
      <c r="W30" s="3"/>
      <c r="X30" s="3"/>
    </row>
    <row r="31" spans="2:24" ht="20.25" thickBot="1">
      <c r="B31" s="31" t="s">
        <v>9</v>
      </c>
      <c r="C31" s="65">
        <f>ROUNDDOWN(C29*H27,0)</f>
        <v>0</v>
      </c>
      <c r="D31" s="59">
        <f>ROUNDDOWN(D29*I27,0)</f>
        <v>0</v>
      </c>
      <c r="E31" s="59">
        <f>ROUNDDOWN(E29*J27,0)</f>
        <v>0</v>
      </c>
      <c r="F31" s="65">
        <f>ROUNDDOWN(F29*K27,0)</f>
        <v>0</v>
      </c>
      <c r="G31" s="3"/>
      <c r="H31" s="17" t="s">
        <v>21</v>
      </c>
      <c r="I31" s="27"/>
      <c r="J31" s="27"/>
      <c r="K31" s="27"/>
      <c r="S31" s="3"/>
      <c r="T31" s="3"/>
      <c r="U31" s="3"/>
      <c r="V31" s="3"/>
      <c r="W31" s="3"/>
      <c r="X31" s="3"/>
    </row>
    <row r="32" spans="2:24" ht="20.25" thickBot="1">
      <c r="B32" s="31" t="s">
        <v>10</v>
      </c>
      <c r="C32" s="65">
        <f>ROUNDDOWN(C27*H28,0)</f>
        <v>0</v>
      </c>
      <c r="D32" s="59">
        <f>ROUNDDOWN(D27*I28,0)</f>
        <v>0</v>
      </c>
      <c r="E32" s="59">
        <f>ROUNDDOWN(E27*J28,0)</f>
        <v>0</v>
      </c>
      <c r="F32" s="65">
        <f>ROUNDDOWN(K28*F28,0)</f>
        <v>0</v>
      </c>
      <c r="G32" s="3"/>
      <c r="H32" s="28" t="s">
        <v>12</v>
      </c>
      <c r="I32" s="29" t="s">
        <v>13</v>
      </c>
      <c r="J32" s="29" t="s">
        <v>14</v>
      </c>
      <c r="K32" s="30" t="s">
        <v>15</v>
      </c>
      <c r="O32" s="6" t="s">
        <v>46</v>
      </c>
    </row>
    <row r="33" spans="2:16" ht="20.25" thickBot="1">
      <c r="B33" s="31" t="s">
        <v>11</v>
      </c>
      <c r="C33" s="65">
        <f>IF(C27=0,0,H29)</f>
        <v>0</v>
      </c>
      <c r="D33" s="59">
        <f>IF(D27=0,0,I29)</f>
        <v>0</v>
      </c>
      <c r="E33" s="59">
        <f>IF(E27=0,0,J29)</f>
        <v>0</v>
      </c>
      <c r="F33" s="65">
        <f>IF(F27=0,0,K29)</f>
        <v>0</v>
      </c>
      <c r="G33" s="3"/>
      <c r="H33" s="43">
        <v>670000</v>
      </c>
      <c r="I33" s="44">
        <v>260000</v>
      </c>
      <c r="J33" s="44">
        <v>170000</v>
      </c>
      <c r="K33" s="26">
        <v>30000</v>
      </c>
      <c r="O33" s="8" t="s">
        <v>47</v>
      </c>
      <c r="P33" s="4"/>
    </row>
    <row r="34" spans="2:16">
      <c r="B34" s="31" t="s">
        <v>18</v>
      </c>
      <c r="C34" s="68"/>
      <c r="D34" s="60"/>
      <c r="E34" s="60"/>
      <c r="F34" s="65">
        <f>ROUNDDOWN(F28*K30,0)</f>
        <v>0</v>
      </c>
      <c r="G34" s="3"/>
      <c r="O34" s="10" t="s">
        <v>48</v>
      </c>
      <c r="P34" s="11" t="str">
        <f>IF(E14="","",IF(E14&gt;=65,1,0))</f>
        <v/>
      </c>
    </row>
    <row r="35" spans="2:16" ht="19.5" thickBot="1">
      <c r="B35" s="35" t="s">
        <v>16</v>
      </c>
      <c r="C35" s="56">
        <f>SUM(C31:C34)</f>
        <v>0</v>
      </c>
      <c r="D35" s="61">
        <f>SUM(D31:D34)</f>
        <v>0</v>
      </c>
      <c r="E35" s="61">
        <f>SUM(E31:E33)</f>
        <v>0</v>
      </c>
      <c r="F35" s="56">
        <f>SUM(F31:F34)</f>
        <v>0</v>
      </c>
      <c r="G35" s="3"/>
      <c r="H35" s="102" t="s">
        <v>59</v>
      </c>
      <c r="O35" s="10" t="s">
        <v>49</v>
      </c>
      <c r="P35" s="11" t="str">
        <f>IF(E16="","",IF(E16&gt;=65,1,0))</f>
        <v/>
      </c>
    </row>
    <row r="36" spans="2:16" ht="20.25" customHeight="1" thickBot="1">
      <c r="B36" s="70" t="s">
        <v>36</v>
      </c>
      <c r="C36" s="63">
        <f>IF(COUNTA(H14:I23)=0,0,IF($P$21&lt;=430000+100000*(P20-1),C32*0.7,IF($P$21&lt;=430000+310000*($P$13)+100000*($P$20-1),C32*0.5,IF($P$21&lt;=430000+570000*($P$13)+100000*($P$20-1),C32*0.2,0))))</f>
        <v>0</v>
      </c>
      <c r="D36" s="57">
        <f>IF(COUNTA(H14:I23)=0,0,IF($P$21&lt;=430000+100000*(P20-1),D32*0.7,IF($P$21&lt;=430000+310000*($P$13)+100000*($P$20-1),D32*0.5,IF($P$21&lt;=430000+570000*($P$13)+100000*($P$20-1),D32*0.2,0))))</f>
        <v>0</v>
      </c>
      <c r="E36" s="57">
        <f>IF(COUNTA(H14:I23)=0,0,IF($P$21&lt;=430000+100000*(P20-1),E32*0.7,IF($P$21&lt;=430000+310000*($P$13)+100000*($P$20-1),E32*0.5,IF($P$21&lt;=430000+570000*($P$13)+100000*($P$20-1),E32*0.2,0))))</f>
        <v>0</v>
      </c>
      <c r="F36" s="63">
        <f>IF(COUNTA(H14:I23)=0,0,IF($P$21&lt;=430000+100000*(P20-1),F32*0.7,IF($P$21&lt;=430000+310000*($P$13)+100000*($P$20-1),F32*0.5,IF($P$21&lt;=430000+570000*($P$13)+100000*($P$20-1),F32*0.2,0))))</f>
        <v>0</v>
      </c>
      <c r="G36" s="3"/>
      <c r="H36" s="102"/>
      <c r="O36" s="10" t="s">
        <v>50</v>
      </c>
      <c r="P36" s="11" t="str">
        <f>IF(E18="","",IF(E18&gt;=65,1,0))</f>
        <v/>
      </c>
    </row>
    <row r="37" spans="2:16" ht="18.75" customHeight="1">
      <c r="B37" s="50" t="s">
        <v>37</v>
      </c>
      <c r="C37" s="64">
        <f>ROUNDUP(IF(AND(C14="",C16="",C18="",C20="",C22=""),0,IF($P$21&lt;=430000+100000*(P20-1),H29*0.7,IF($P$21&lt;=430000+310000*($P$13)+100000*($P$20-1),H29*0.5,IF($P$21&lt;=430000+570000*($P$13)+100000*($P$20-1),H29*0.2,0)))),0)</f>
        <v>0</v>
      </c>
      <c r="D37" s="58">
        <f>ROUNDUP(IF(AND(C14="",C16="",C18="",C20="",C22=""),0,IF($P$21&lt;=430000+100000*(P20-1),I29*0.7,IF($P$21&lt;=430000+310000*($P$13)+100000*($P$20-1),I29*0.5,IF($P$21&lt;=430000+570000*($P$13)+100000*($P$20-1),I29*0.2,0)))),0)</f>
        <v>0</v>
      </c>
      <c r="E37" s="58">
        <f>IF(E27=0,0,ROUNDUP(IF(AND(C14="",C16="",C18="",C20="",C22=""),0,IF($P$21&lt;=430000+100000*(P20-1),J29*0.7,IF($P$21&lt;=430000+310000*($P$13)+100000*($P$20-1),J29*0.5,IF($P$21&lt;=430000+570000*($P$13)+100000*($P$20-1),J29*0.2,0)))),0))</f>
        <v>0</v>
      </c>
      <c r="F37" s="64">
        <f>ROUNDUP(IF(AND(C14="",C16="",C18="",C20="",C22=""),0,IF($P$21&lt;=430000+100000*(P20-1),K29*0.7,IF($P$21&lt;=430000+310000*($P$13)+100000*($P$20-1),K29*0.5,IF($P$21&lt;=430000+570000*($P$13)+100000*($P$20-1),K29*0.2,0)))),0)</f>
        <v>0</v>
      </c>
      <c r="G37" s="3"/>
      <c r="H37" s="103" t="s">
        <v>58</v>
      </c>
      <c r="I37" s="104"/>
      <c r="J37" s="109">
        <f>C40+D40+E40+F40</f>
        <v>0</v>
      </c>
      <c r="K37" s="110"/>
      <c r="L37" s="113" t="s">
        <v>61</v>
      </c>
      <c r="M37" s="115" t="s">
        <v>72</v>
      </c>
      <c r="O37" s="10" t="s">
        <v>51</v>
      </c>
      <c r="P37" s="11" t="str">
        <f>IF(E20="","",IF(E20&gt;=65,1,0))</f>
        <v/>
      </c>
    </row>
    <row r="38" spans="2:16" ht="20.25" customHeight="1" thickBot="1">
      <c r="B38" s="31" t="s">
        <v>17</v>
      </c>
      <c r="C38" s="69">
        <f>IF(P22=0,0,IF(P23="7割軽減",4350*P22,IF(P23="5割軽減",7250*P22,IF(P23="2割軽減",11600*P22,IF(P23="軽減非該当",(H28/2)*P22,0)))))</f>
        <v>0</v>
      </c>
      <c r="D38" s="59">
        <f>IF(P22=0,0,IF(P23="7割軽減",1680*P22,IF(P23="5割軽減",2800*P22,IF(P23="2割軽減",4480*P22,IF(P23="軽減非該当",(I28/2)*P22,0)))))</f>
        <v>0</v>
      </c>
      <c r="E38" s="60"/>
      <c r="F38" s="65">
        <v>0</v>
      </c>
      <c r="G38" s="3"/>
      <c r="H38" s="105"/>
      <c r="I38" s="106"/>
      <c r="J38" s="111"/>
      <c r="K38" s="112"/>
      <c r="L38" s="114"/>
      <c r="M38" s="116"/>
      <c r="O38" s="37" t="s">
        <v>52</v>
      </c>
      <c r="P38" s="38" t="str">
        <f>IF(E22="","",IF(E22&gt;=65,1,0))</f>
        <v/>
      </c>
    </row>
    <row r="39" spans="2:16" ht="18.75" customHeight="1" thickBot="1">
      <c r="B39" s="45" t="s">
        <v>35</v>
      </c>
      <c r="C39" s="56">
        <f>IF((C35-C36-C37-C38)&gt;H33,(C35-C36-C37-C38)-H33,0)</f>
        <v>0</v>
      </c>
      <c r="D39" s="61">
        <f>IF((D35-D36-D37-D38)&gt;I33,(D35-D36-D37-D38)-I33,0)</f>
        <v>0</v>
      </c>
      <c r="E39" s="61">
        <f>IF((E35-E36-E37-E38)&gt;J33,(E35-E36-E37-E38)-J33,0)</f>
        <v>0</v>
      </c>
      <c r="F39" s="56">
        <f>IF((F35-F36-F37-F38)&gt;K33,(F35-F36-F37-F38)-K33,0)</f>
        <v>0</v>
      </c>
      <c r="H39" s="107" t="s">
        <v>60</v>
      </c>
      <c r="I39" s="108"/>
      <c r="J39" s="109">
        <f>ROUNDUP(J37/12,0)</f>
        <v>0</v>
      </c>
      <c r="K39" s="110"/>
      <c r="L39" s="117" t="s">
        <v>61</v>
      </c>
      <c r="M39" s="115" t="s">
        <v>73</v>
      </c>
      <c r="O39" s="32"/>
    </row>
    <row r="40" spans="2:16" ht="19.5" thickBot="1">
      <c r="B40" s="16" t="s">
        <v>20</v>
      </c>
      <c r="C40" s="66">
        <f>ROUNDDOWN(C35-C36-C37-C38-C39,-2)</f>
        <v>0</v>
      </c>
      <c r="D40" s="62">
        <f>ROUNDDOWN(D35-D36-D37-D38-D39,-2)</f>
        <v>0</v>
      </c>
      <c r="E40" s="62">
        <f>ROUNDDOWN(E35-E36-E37-E38-E39,-2)</f>
        <v>0</v>
      </c>
      <c r="F40" s="66">
        <f>ROUNDDOWN(F35-F36-F37-F38-F39,-2)</f>
        <v>0</v>
      </c>
      <c r="H40" s="105"/>
      <c r="I40" s="106"/>
      <c r="J40" s="111"/>
      <c r="K40" s="112"/>
      <c r="L40" s="118"/>
      <c r="M40" s="116"/>
      <c r="O40" s="39" t="s">
        <v>53</v>
      </c>
    </row>
    <row r="41" spans="2:16">
      <c r="B41" s="48"/>
      <c r="C41" s="3"/>
      <c r="D41" s="3"/>
      <c r="E41" s="3"/>
      <c r="F41" s="3"/>
      <c r="G41" s="3"/>
      <c r="O41" s="36" t="s">
        <v>48</v>
      </c>
      <c r="P41" s="9">
        <f>IF(AND(H14="",I14=""),0,IF(SUM(H14,I14)&lt;=10000000,0,IF(SUM(H14,I14)&lt;=20000000,1,IF(SUM(H14,I14)&gt;20000000,2))))</f>
        <v>0</v>
      </c>
    </row>
    <row r="42" spans="2:16">
      <c r="B42" s="119" t="s">
        <v>68</v>
      </c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O42" s="10" t="s">
        <v>49</v>
      </c>
      <c r="P42" s="11">
        <f>IF(AND(H16="",I16=""),0,IF(SUM(H16,I16)&lt;=10000000,0,IF(SUM(H16,I16)&lt;=20000000,1,IF(SUM(H16,I16)&gt;20000000,2))))</f>
        <v>0</v>
      </c>
    </row>
    <row r="43" spans="2:16" ht="18.75" customHeight="1"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O43" s="10" t="s">
        <v>50</v>
      </c>
      <c r="P43" s="11">
        <f>IF(AND(H18="",I18=""),0,IF(SUM(H18,I18)&lt;=10000000,0,IF(SUM(H18,I18)&lt;=20000000,1,IF(SUM(H18,I18)&gt;20000000,2))))</f>
        <v>0</v>
      </c>
    </row>
    <row r="44" spans="2:16" ht="18.75" customHeight="1"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O44" s="10" t="s">
        <v>51</v>
      </c>
      <c r="P44" s="11">
        <f>IF(AND(H20="",I20=""),0,IF(SUM(H20,I20)&lt;=10000000,0,IF(SUM(H20,I20)&lt;=20000000,1,IF(SUM(H20,I20)&gt;20000000,2))))</f>
        <v>0</v>
      </c>
    </row>
    <row r="45" spans="2:16" ht="18.75" customHeight="1" thickBot="1"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O45" s="37" t="s">
        <v>52</v>
      </c>
      <c r="P45" s="38">
        <f>IF(AND(H22="",I22=""),0,IF(SUM(H22,I22)&lt;=10000000,0,IF(SUM(H22,I22)&lt;=20000000,1,IF(SUM(H22,I22)&gt;20000000,2))))</f>
        <v>0</v>
      </c>
    </row>
    <row r="46" spans="2:16" ht="18.75" customHeight="1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</row>
    <row r="47" spans="2:16" ht="18.75" customHeight="1"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</row>
    <row r="48" spans="2:16" ht="18.75" customHeight="1"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</row>
    <row r="49" spans="2:12" ht="18.75" customHeight="1"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</row>
    <row r="50" spans="2:12" ht="18.75" customHeight="1"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</row>
    <row r="51" spans="2:12" ht="18.75" customHeight="1"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</row>
    <row r="52" spans="2:12" ht="18.75" customHeight="1"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</row>
    <row r="53" spans="2:12" ht="18.75" customHeight="1"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</row>
    <row r="54" spans="2:12" ht="18.75" customHeight="1"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</row>
    <row r="55" spans="2:12" ht="18.75" customHeight="1"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</row>
    <row r="56" spans="2:12" ht="18.75" customHeight="1"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</row>
    <row r="57" spans="2:12" ht="18.75" customHeight="1"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</row>
    <row r="58" spans="2:12" ht="18.75" customHeight="1"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</row>
    <row r="59" spans="2:12" ht="18.75" customHeight="1"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</row>
    <row r="60" spans="2:12" ht="18.75" customHeight="1"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</row>
  </sheetData>
  <sheetProtection sheet="1" objects="1" scenarios="1"/>
  <mergeCells count="67">
    <mergeCell ref="M37:M38"/>
    <mergeCell ref="M39:M40"/>
    <mergeCell ref="L39:L40"/>
    <mergeCell ref="J39:K40"/>
    <mergeCell ref="B42:L60"/>
    <mergeCell ref="H35:H36"/>
    <mergeCell ref="H37:I38"/>
    <mergeCell ref="H39:I40"/>
    <mergeCell ref="J37:K38"/>
    <mergeCell ref="L37:L38"/>
    <mergeCell ref="L22:L23"/>
    <mergeCell ref="L12:L13"/>
    <mergeCell ref="L14:L15"/>
    <mergeCell ref="L16:L17"/>
    <mergeCell ref="L18:L19"/>
    <mergeCell ref="L20:L21"/>
    <mergeCell ref="J22:J23"/>
    <mergeCell ref="J12:J13"/>
    <mergeCell ref="J14:J15"/>
    <mergeCell ref="J16:J17"/>
    <mergeCell ref="J18:J19"/>
    <mergeCell ref="D22:D23"/>
    <mergeCell ref="B12:B23"/>
    <mergeCell ref="C12:C13"/>
    <mergeCell ref="C14:C15"/>
    <mergeCell ref="C16:C17"/>
    <mergeCell ref="C18:C19"/>
    <mergeCell ref="C20:C21"/>
    <mergeCell ref="C22:C23"/>
    <mergeCell ref="D12:D13"/>
    <mergeCell ref="D14:D15"/>
    <mergeCell ref="D16:D17"/>
    <mergeCell ref="D18:D19"/>
    <mergeCell ref="D20:D21"/>
    <mergeCell ref="F22:F23"/>
    <mergeCell ref="F12:F13"/>
    <mergeCell ref="F14:F15"/>
    <mergeCell ref="F16:F17"/>
    <mergeCell ref="F18:F19"/>
    <mergeCell ref="F20:F21"/>
    <mergeCell ref="K22:K23"/>
    <mergeCell ref="K12:K13"/>
    <mergeCell ref="K14:K15"/>
    <mergeCell ref="K16:K17"/>
    <mergeCell ref="K18:K19"/>
    <mergeCell ref="E12:E13"/>
    <mergeCell ref="E16:E17"/>
    <mergeCell ref="E18:E19"/>
    <mergeCell ref="E20:E21"/>
    <mergeCell ref="K20:K21"/>
    <mergeCell ref="J20:J21"/>
    <mergeCell ref="B1:M3"/>
    <mergeCell ref="B4:M6"/>
    <mergeCell ref="I22:I23"/>
    <mergeCell ref="I14:I15"/>
    <mergeCell ref="I16:I17"/>
    <mergeCell ref="I18:I19"/>
    <mergeCell ref="I20:I21"/>
    <mergeCell ref="E22:E23"/>
    <mergeCell ref="I12:I13"/>
    <mergeCell ref="M12:M13"/>
    <mergeCell ref="M14:M15"/>
    <mergeCell ref="M16:M17"/>
    <mergeCell ref="M18:M19"/>
    <mergeCell ref="M20:M21"/>
    <mergeCell ref="M22:M23"/>
    <mergeCell ref="E14:E15"/>
  </mergeCells>
  <phoneticPr fontId="2"/>
  <dataValidations count="1">
    <dataValidation type="list" allowBlank="1" showInputMessage="1" showErrorMessage="1" sqref="F14:F15">
      <formula1>$R$13:$R$14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試算シート</vt:lpstr>
      <vt:lpstr>試算シート!Print_Area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前薗 涼真</dc:creator>
  <cp:lastModifiedBy>前薗 涼真</cp:lastModifiedBy>
  <cp:lastPrinted>2026-03-09T23:51:31Z</cp:lastPrinted>
  <dcterms:created xsi:type="dcterms:W3CDTF">2025-08-20T04:39:57Z</dcterms:created>
  <dcterms:modified xsi:type="dcterms:W3CDTF">2026-03-26T08:57:12Z</dcterms:modified>
</cp:coreProperties>
</file>